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http://dfin.vmr.gov.ua/Documents/Відділ доходів бюджету/Серветник Максим Миколайович/Аналізи/Щомісячні/Аналіз 2023 рік/сайт/"/>
    </mc:Choice>
  </mc:AlternateContent>
  <bookViews>
    <workbookView xWindow="0" yWindow="0" windowWidth="28800" windowHeight="11715"/>
  </bookViews>
  <sheets>
    <sheet name="2023" sheetId="22" r:id="rId1"/>
  </sheets>
  <definedNames>
    <definedName name="_xlnm.Print_Titles" localSheetId="0">'2023'!$3:$5</definedName>
    <definedName name="_xlnm.Print_Area" localSheetId="0">'2023'!$A$1:$X$113</definedName>
  </definedNames>
  <calcPr calcId="152511"/>
</workbook>
</file>

<file path=xl/calcChain.xml><?xml version="1.0" encoding="utf-8"?>
<calcChain xmlns="http://schemas.openxmlformats.org/spreadsheetml/2006/main">
  <c r="R7" i="22" l="1"/>
  <c r="R91" i="22" l="1"/>
  <c r="R90" i="22"/>
  <c r="R88" i="22"/>
  <c r="R85" i="22"/>
  <c r="R84" i="22"/>
  <c r="R82" i="22"/>
  <c r="R79" i="22"/>
  <c r="R49" i="22"/>
  <c r="R48" i="22"/>
  <c r="R47" i="22"/>
  <c r="R46" i="22"/>
  <c r="R45" i="22"/>
  <c r="R44" i="22"/>
  <c r="R43" i="22"/>
  <c r="R42" i="22"/>
  <c r="R41" i="22"/>
  <c r="R40" i="22"/>
  <c r="R39" i="22"/>
  <c r="R38" i="22"/>
  <c r="R36" i="22"/>
  <c r="R35" i="22"/>
  <c r="R34" i="22"/>
  <c r="R33" i="22"/>
  <c r="R32" i="22"/>
  <c r="R31" i="22"/>
  <c r="R30" i="22"/>
  <c r="R29" i="22"/>
  <c r="R28" i="22"/>
  <c r="R27" i="22"/>
  <c r="R26" i="22"/>
  <c r="R25" i="22"/>
  <c r="R24" i="22"/>
  <c r="R23" i="22"/>
  <c r="R21" i="22"/>
  <c r="R20" i="22"/>
  <c r="R19" i="22"/>
  <c r="R17" i="22"/>
  <c r="R16" i="22"/>
  <c r="R13" i="22"/>
  <c r="R12" i="22"/>
  <c r="R11" i="22"/>
  <c r="R10" i="22"/>
  <c r="R8" i="22"/>
  <c r="M96" i="22"/>
  <c r="M95" i="22" s="1"/>
  <c r="M86" i="22"/>
  <c r="M78" i="22"/>
  <c r="M92" i="22" s="1"/>
  <c r="M73" i="22"/>
  <c r="M71" i="22"/>
  <c r="M105" i="22" s="1"/>
  <c r="M70" i="22"/>
  <c r="M104" i="22" s="1"/>
  <c r="M62" i="22"/>
  <c r="M74" i="22" s="1"/>
  <c r="M108" i="22" s="1"/>
  <c r="M37" i="22"/>
  <c r="M22" i="22"/>
  <c r="M18" i="22"/>
  <c r="M15" i="22"/>
  <c r="M9" i="22"/>
  <c r="M107" i="22" l="1"/>
  <c r="M14" i="22"/>
  <c r="M106" i="22"/>
  <c r="M103" i="22" s="1"/>
  <c r="M72" i="22"/>
  <c r="M68" i="22" s="1"/>
  <c r="M50" i="22"/>
  <c r="M101" i="22" s="1"/>
  <c r="M99" i="22"/>
  <c r="O62" i="22"/>
  <c r="M76" i="22" l="1"/>
  <c r="M110" i="22"/>
  <c r="N62" i="22"/>
  <c r="N74" i="22" s="1"/>
  <c r="R61" i="22"/>
  <c r="R57" i="22"/>
  <c r="R56" i="22"/>
  <c r="R55" i="22"/>
  <c r="F55" i="22" l="1"/>
  <c r="F56" i="22"/>
  <c r="F57" i="22"/>
  <c r="O73" i="22"/>
  <c r="N73" i="22"/>
  <c r="L73" i="22"/>
  <c r="K73" i="22"/>
  <c r="J73" i="22"/>
  <c r="I73" i="22"/>
  <c r="H73" i="22"/>
  <c r="G73" i="22"/>
  <c r="O71" i="22"/>
  <c r="N71" i="22"/>
  <c r="L71" i="22"/>
  <c r="K71" i="22"/>
  <c r="J71" i="22"/>
  <c r="I71" i="22"/>
  <c r="H71" i="22"/>
  <c r="G71" i="22"/>
  <c r="O70" i="22"/>
  <c r="N70" i="22"/>
  <c r="L70" i="22"/>
  <c r="K70" i="22"/>
  <c r="J70" i="22"/>
  <c r="I70" i="22"/>
  <c r="H70" i="22"/>
  <c r="G70" i="22"/>
  <c r="E67" i="22"/>
  <c r="F61" i="22"/>
  <c r="U61" i="22" s="1"/>
  <c r="W56" i="22" l="1"/>
  <c r="T56" i="22"/>
  <c r="P56" i="22"/>
  <c r="Q56" i="22"/>
  <c r="U56" i="22"/>
  <c r="W55" i="22"/>
  <c r="T55" i="22"/>
  <c r="U55" i="22"/>
  <c r="P55" i="22"/>
  <c r="Q55" i="22"/>
  <c r="S55" i="22"/>
  <c r="S56" i="22"/>
  <c r="W57" i="22"/>
  <c r="Q57" i="22"/>
  <c r="T57" i="22"/>
  <c r="S57" i="22"/>
  <c r="U57" i="22"/>
  <c r="P57" i="22"/>
  <c r="S61" i="22"/>
  <c r="T61" i="22"/>
  <c r="W61" i="22"/>
  <c r="P61" i="22"/>
  <c r="Q61" i="22"/>
  <c r="R87" i="22"/>
  <c r="V71" i="22"/>
  <c r="L96" i="22" l="1"/>
  <c r="L107" i="22" s="1"/>
  <c r="L95" i="22"/>
  <c r="L86" i="22"/>
  <c r="L78" i="22"/>
  <c r="L92" i="22" s="1"/>
  <c r="L99" i="22" s="1"/>
  <c r="L105" i="22"/>
  <c r="L104" i="22"/>
  <c r="L62" i="22"/>
  <c r="L74" i="22" s="1"/>
  <c r="L72" i="22" s="1"/>
  <c r="L37" i="22"/>
  <c r="L22" i="22"/>
  <c r="L18" i="22"/>
  <c r="L15" i="22"/>
  <c r="L14" i="22" s="1"/>
  <c r="L9" i="22"/>
  <c r="L50" i="22" l="1"/>
  <c r="L108" i="22"/>
  <c r="L106" i="22" s="1"/>
  <c r="L103" i="22" s="1"/>
  <c r="L68" i="22"/>
  <c r="O86" i="22"/>
  <c r="V86" i="22"/>
  <c r="L101" i="22" l="1"/>
  <c r="L110" i="22" s="1"/>
  <c r="L76" i="22"/>
  <c r="O74" i="22"/>
  <c r="O72" i="22" s="1"/>
  <c r="N72" i="22"/>
  <c r="E89" i="22" l="1"/>
  <c r="R89" i="22" s="1"/>
  <c r="R67" i="22"/>
  <c r="E62" i="22"/>
  <c r="E74" i="22" s="1"/>
  <c r="D62" i="22"/>
  <c r="F67" i="22"/>
  <c r="S67" i="22" s="1"/>
  <c r="V18" i="22"/>
  <c r="T67" i="22" l="1"/>
  <c r="Q67" i="22"/>
  <c r="P67" i="22"/>
  <c r="W67" i="22"/>
  <c r="U67" i="22"/>
  <c r="R86" i="22" l="1"/>
  <c r="K96" i="22"/>
  <c r="K95" i="22" s="1"/>
  <c r="K86" i="22"/>
  <c r="K78" i="22"/>
  <c r="K92" i="22" s="1"/>
  <c r="K105" i="22"/>
  <c r="K104" i="22"/>
  <c r="K62" i="22"/>
  <c r="K74" i="22" s="1"/>
  <c r="K72" i="22" s="1"/>
  <c r="K37" i="22"/>
  <c r="K22" i="22"/>
  <c r="K18" i="22"/>
  <c r="K15" i="22"/>
  <c r="K9" i="22"/>
  <c r="K108" i="22" l="1"/>
  <c r="K68" i="22"/>
  <c r="K14" i="22"/>
  <c r="K107" i="22"/>
  <c r="K50" i="22"/>
  <c r="K76" i="22" s="1"/>
  <c r="K99" i="22"/>
  <c r="D15" i="22"/>
  <c r="V15" i="22"/>
  <c r="V14" i="22" s="1"/>
  <c r="O15" i="22"/>
  <c r="N15" i="22"/>
  <c r="J15" i="22"/>
  <c r="I15" i="22"/>
  <c r="H15" i="22"/>
  <c r="G15" i="22"/>
  <c r="E15" i="22"/>
  <c r="R15" i="22" s="1"/>
  <c r="K106" i="22" l="1"/>
  <c r="K103" i="22" s="1"/>
  <c r="K101" i="22"/>
  <c r="K110" i="22" s="1"/>
  <c r="F15" i="22"/>
  <c r="X15" i="22" s="1"/>
  <c r="T15" i="22" l="1"/>
  <c r="W15" i="22"/>
  <c r="P15" i="22"/>
  <c r="Q15" i="22"/>
  <c r="U15" i="22"/>
  <c r="S15" i="22"/>
  <c r="F54" i="22" l="1"/>
  <c r="X54" i="22" s="1"/>
  <c r="R53" i="22"/>
  <c r="R54" i="22"/>
  <c r="E71" i="22"/>
  <c r="R71" i="22" l="1"/>
  <c r="W54" i="22"/>
  <c r="T54" i="22"/>
  <c r="U54" i="22"/>
  <c r="Q54" i="22"/>
  <c r="P54" i="22"/>
  <c r="S54" i="22"/>
  <c r="J105" i="22"/>
  <c r="J96" i="22"/>
  <c r="J95" i="22" s="1"/>
  <c r="J86" i="22"/>
  <c r="J78" i="22"/>
  <c r="J92" i="22" s="1"/>
  <c r="J104" i="22"/>
  <c r="J62" i="22"/>
  <c r="J37" i="22"/>
  <c r="J22" i="22"/>
  <c r="J18" i="22"/>
  <c r="J14" i="22" s="1"/>
  <c r="J9" i="22"/>
  <c r="J99" i="22" l="1"/>
  <c r="J74" i="22"/>
  <c r="J72" i="22" s="1"/>
  <c r="J107" i="22"/>
  <c r="J50" i="22"/>
  <c r="J68" i="22"/>
  <c r="J108" i="22" l="1"/>
  <c r="J106" i="22" s="1"/>
  <c r="J103" i="22" s="1"/>
  <c r="J76" i="22"/>
  <c r="J101" i="22"/>
  <c r="I105" i="22"/>
  <c r="I96" i="22"/>
  <c r="I95" i="22" s="1"/>
  <c r="I86" i="22"/>
  <c r="I78" i="22"/>
  <c r="I92" i="22" s="1"/>
  <c r="I104" i="22"/>
  <c r="I62" i="22"/>
  <c r="I37" i="22"/>
  <c r="I22" i="22"/>
  <c r="I18" i="22"/>
  <c r="I14" i="22" s="1"/>
  <c r="I9" i="22"/>
  <c r="I74" i="22" l="1"/>
  <c r="I72" i="22" s="1"/>
  <c r="J110" i="22"/>
  <c r="I99" i="22"/>
  <c r="I68" i="22"/>
  <c r="I107" i="22"/>
  <c r="I50" i="22"/>
  <c r="F7" i="22"/>
  <c r="S7" i="22" s="1"/>
  <c r="AA7" i="22"/>
  <c r="AB7" i="22"/>
  <c r="A8" i="22"/>
  <c r="F8" i="22"/>
  <c r="S8" i="22" s="1"/>
  <c r="AA8" i="22"/>
  <c r="AB8" i="22" s="1"/>
  <c r="D9" i="22"/>
  <c r="E9" i="22"/>
  <c r="R9" i="22" s="1"/>
  <c r="G9" i="22"/>
  <c r="H9" i="22"/>
  <c r="N9" i="22"/>
  <c r="O9" i="22"/>
  <c r="V9" i="22"/>
  <c r="F10" i="22"/>
  <c r="P10" i="22" s="1"/>
  <c r="F11" i="22"/>
  <c r="F12" i="22"/>
  <c r="Q12" i="22" s="1"/>
  <c r="F13" i="22"/>
  <c r="T13" i="22" s="1"/>
  <c r="F16" i="22"/>
  <c r="S16" i="22" s="1"/>
  <c r="Y16" i="22"/>
  <c r="F17" i="22"/>
  <c r="T17" i="22" s="1"/>
  <c r="D18" i="22"/>
  <c r="D14" i="22" s="1"/>
  <c r="E18" i="22"/>
  <c r="R18" i="22" s="1"/>
  <c r="G18" i="22"/>
  <c r="G14" i="22" s="1"/>
  <c r="H18" i="22"/>
  <c r="H14" i="22" s="1"/>
  <c r="N18" i="22"/>
  <c r="N14" i="22" s="1"/>
  <c r="O18" i="22"/>
  <c r="O14" i="22" s="1"/>
  <c r="F19" i="22"/>
  <c r="F20" i="22"/>
  <c r="U20" i="22" s="1"/>
  <c r="F21" i="22"/>
  <c r="P21" i="22" s="1"/>
  <c r="D22" i="22"/>
  <c r="E22" i="22"/>
  <c r="R22" i="22" s="1"/>
  <c r="G22" i="22"/>
  <c r="H22" i="22"/>
  <c r="N22" i="22"/>
  <c r="O22" i="22"/>
  <c r="V22" i="22"/>
  <c r="Y22" i="22"/>
  <c r="F23" i="22"/>
  <c r="P23" i="22" s="1"/>
  <c r="F24" i="22"/>
  <c r="S24" i="22" s="1"/>
  <c r="F25" i="22"/>
  <c r="P25" i="22" s="1"/>
  <c r="F26" i="22"/>
  <c r="Q26" i="22" s="1"/>
  <c r="F27" i="22"/>
  <c r="S27" i="22" s="1"/>
  <c r="F28" i="22"/>
  <c r="U28" i="22" s="1"/>
  <c r="A29" i="22"/>
  <c r="A30" i="22" s="1"/>
  <c r="A31" i="22" s="1"/>
  <c r="A32" i="22" s="1"/>
  <c r="A33" i="22" s="1"/>
  <c r="A34" i="22" s="1"/>
  <c r="F29" i="22"/>
  <c r="Q29" i="22" s="1"/>
  <c r="F30" i="22"/>
  <c r="S30" i="22" s="1"/>
  <c r="F31" i="22"/>
  <c r="P31" i="22" s="1"/>
  <c r="F32" i="22"/>
  <c r="S32" i="22" s="1"/>
  <c r="F33" i="22"/>
  <c r="T33" i="22" s="1"/>
  <c r="F34" i="22"/>
  <c r="P34" i="22" s="1"/>
  <c r="F36" i="22"/>
  <c r="U36" i="22" s="1"/>
  <c r="D37" i="22"/>
  <c r="E37" i="22"/>
  <c r="R37" i="22" s="1"/>
  <c r="G37" i="22"/>
  <c r="H37" i="22"/>
  <c r="N37" i="22"/>
  <c r="O37" i="22"/>
  <c r="V37" i="22"/>
  <c r="F38" i="22"/>
  <c r="P38" i="22" s="1"/>
  <c r="F39" i="22"/>
  <c r="X39" i="22" s="1"/>
  <c r="Y39" i="22" s="1"/>
  <c r="F40" i="22"/>
  <c r="W40" i="22" s="1"/>
  <c r="F41" i="22"/>
  <c r="P41" i="22" s="1"/>
  <c r="F42" i="22"/>
  <c r="T42" i="22" s="1"/>
  <c r="A43" i="22"/>
  <c r="A44" i="22" s="1"/>
  <c r="A45" i="22" s="1"/>
  <c r="A46" i="22" s="1"/>
  <c r="A47" i="22" s="1"/>
  <c r="A48" i="22" s="1"/>
  <c r="A49" i="22" s="1"/>
  <c r="F43" i="22"/>
  <c r="X43" i="22" s="1"/>
  <c r="Y43" i="22" s="1"/>
  <c r="F44" i="22"/>
  <c r="F45" i="22"/>
  <c r="W45" i="22" s="1"/>
  <c r="F46" i="22"/>
  <c r="P46" i="22" s="1"/>
  <c r="F47" i="22"/>
  <c r="T47" i="22" s="1"/>
  <c r="F48" i="22"/>
  <c r="F49" i="22"/>
  <c r="U49" i="22" s="1"/>
  <c r="AC50" i="22"/>
  <c r="F51" i="22"/>
  <c r="R51" i="22"/>
  <c r="A52" i="22"/>
  <c r="A53" i="22" s="1"/>
  <c r="F52" i="22"/>
  <c r="Q52" i="22" s="1"/>
  <c r="R52" i="22"/>
  <c r="R73" i="22" s="1"/>
  <c r="F53" i="22"/>
  <c r="R105" i="22"/>
  <c r="F58" i="22"/>
  <c r="P58" i="22" s="1"/>
  <c r="R58" i="22"/>
  <c r="F59" i="22"/>
  <c r="R59" i="22"/>
  <c r="F60" i="22"/>
  <c r="U60" i="22" s="1"/>
  <c r="R60" i="22"/>
  <c r="D74" i="22"/>
  <c r="D108" i="22" s="1"/>
  <c r="E108" i="22"/>
  <c r="G62" i="22"/>
  <c r="G74" i="22" s="1"/>
  <c r="G72" i="22" s="1"/>
  <c r="H62" i="22"/>
  <c r="O108" i="22"/>
  <c r="V62" i="22"/>
  <c r="V74" i="22" s="1"/>
  <c r="V108" i="22" s="1"/>
  <c r="F63" i="22"/>
  <c r="R63" i="22"/>
  <c r="F64" i="22"/>
  <c r="W64" i="22" s="1"/>
  <c r="R64" i="22"/>
  <c r="F65" i="22"/>
  <c r="R65" i="22"/>
  <c r="F66" i="22"/>
  <c r="X66" i="22" s="1"/>
  <c r="R66" i="22"/>
  <c r="D70" i="22"/>
  <c r="D104" i="22" s="1"/>
  <c r="E70" i="22"/>
  <c r="E104" i="22" s="1"/>
  <c r="G104" i="22"/>
  <c r="H104" i="22"/>
  <c r="N104" i="22"/>
  <c r="O104" i="22"/>
  <c r="D71" i="22"/>
  <c r="D105" i="22" s="1"/>
  <c r="H105" i="22"/>
  <c r="N105" i="22"/>
  <c r="O105" i="22"/>
  <c r="V105" i="22"/>
  <c r="D73" i="22"/>
  <c r="E73" i="22"/>
  <c r="V73" i="22"/>
  <c r="D78" i="22"/>
  <c r="D92" i="22" s="1"/>
  <c r="G78" i="22"/>
  <c r="H78" i="22"/>
  <c r="H92" i="22" s="1"/>
  <c r="N78" i="22"/>
  <c r="N92" i="22" s="1"/>
  <c r="O78" i="22"/>
  <c r="O92" i="22" s="1"/>
  <c r="V78" i="22"/>
  <c r="V92" i="22" s="1"/>
  <c r="F79" i="22"/>
  <c r="R78" i="22"/>
  <c r="F80" i="22"/>
  <c r="P80" i="22" s="1"/>
  <c r="F81" i="22"/>
  <c r="W81" i="22" s="1"/>
  <c r="F82" i="22"/>
  <c r="S82" i="22" s="1"/>
  <c r="F83" i="22"/>
  <c r="P83" i="22" s="1"/>
  <c r="F84" i="22"/>
  <c r="W84" i="22" s="1"/>
  <c r="A85" i="22"/>
  <c r="A86" i="22" s="1"/>
  <c r="F85" i="22"/>
  <c r="T85" i="22" s="1"/>
  <c r="D86" i="22"/>
  <c r="E86" i="22"/>
  <c r="G86" i="22"/>
  <c r="H86" i="22"/>
  <c r="N86" i="22"/>
  <c r="F87" i="22"/>
  <c r="S87" i="22" s="1"/>
  <c r="F88" i="22"/>
  <c r="F89" i="22"/>
  <c r="F90" i="22"/>
  <c r="U90" i="22" s="1"/>
  <c r="F91" i="22"/>
  <c r="P91" i="22" s="1"/>
  <c r="F93" i="22"/>
  <c r="Q93" i="22" s="1"/>
  <c r="R93" i="22"/>
  <c r="R96" i="22" s="1"/>
  <c r="R95" i="22" s="1"/>
  <c r="D96" i="22"/>
  <c r="D95" i="22" s="1"/>
  <c r="E96" i="22"/>
  <c r="E95" i="22" s="1"/>
  <c r="G96" i="22"/>
  <c r="G95" i="22" s="1"/>
  <c r="H96" i="22"/>
  <c r="H95" i="22" s="1"/>
  <c r="N96" i="22"/>
  <c r="N95" i="22" s="1"/>
  <c r="O96" i="22"/>
  <c r="O95" i="22" s="1"/>
  <c r="V96" i="22"/>
  <c r="V95" i="22" s="1"/>
  <c r="F97" i="22"/>
  <c r="P97" i="22" s="1"/>
  <c r="V104" i="22"/>
  <c r="F35" i="22"/>
  <c r="W44" i="22" l="1"/>
  <c r="X44" i="22"/>
  <c r="N50" i="22"/>
  <c r="H74" i="22"/>
  <c r="H72" i="22" s="1"/>
  <c r="H68" i="22" s="1"/>
  <c r="I76" i="22"/>
  <c r="I108" i="22"/>
  <c r="I106" i="22" s="1"/>
  <c r="I103" i="22" s="1"/>
  <c r="R70" i="22"/>
  <c r="R104" i="22" s="1"/>
  <c r="O50" i="22"/>
  <c r="O101" i="22" s="1"/>
  <c r="D107" i="22"/>
  <c r="U35" i="22"/>
  <c r="Q35" i="22"/>
  <c r="T35" i="22"/>
  <c r="G107" i="22"/>
  <c r="P88" i="22"/>
  <c r="T88" i="22"/>
  <c r="U88" i="22"/>
  <c r="Q88" i="22"/>
  <c r="S51" i="22"/>
  <c r="A54" i="22"/>
  <c r="A55" i="22" s="1"/>
  <c r="A56" i="22" s="1"/>
  <c r="A57" i="22" s="1"/>
  <c r="A58" i="22" s="1"/>
  <c r="A59" i="22" s="1"/>
  <c r="A60" i="22" s="1"/>
  <c r="A61" i="22" s="1"/>
  <c r="A62" i="22" s="1"/>
  <c r="T19" i="22"/>
  <c r="X19" i="22"/>
  <c r="P89" i="22"/>
  <c r="Q89" i="22"/>
  <c r="X89" i="22"/>
  <c r="P49" i="22"/>
  <c r="E14" i="22"/>
  <c r="S65" i="22"/>
  <c r="X65" i="22"/>
  <c r="T11" i="22"/>
  <c r="Q11" i="22"/>
  <c r="S53" i="22"/>
  <c r="W53" i="22"/>
  <c r="R62" i="22"/>
  <c r="P44" i="22"/>
  <c r="P30" i="22"/>
  <c r="P29" i="22"/>
  <c r="AA27" i="22"/>
  <c r="S11" i="22"/>
  <c r="P11" i="22"/>
  <c r="P13" i="22"/>
  <c r="P8" i="22"/>
  <c r="P39" i="22"/>
  <c r="P33" i="22"/>
  <c r="V50" i="22"/>
  <c r="AA48" i="22" s="1"/>
  <c r="Q40" i="22"/>
  <c r="Q43" i="22"/>
  <c r="P40" i="22"/>
  <c r="P36" i="22"/>
  <c r="S85" i="22"/>
  <c r="X90" i="22"/>
  <c r="P90" i="22"/>
  <c r="P84" i="22"/>
  <c r="Q30" i="22"/>
  <c r="I101" i="22"/>
  <c r="H50" i="22"/>
  <c r="S66" i="22"/>
  <c r="S59" i="22"/>
  <c r="T58" i="22"/>
  <c r="N107" i="22"/>
  <c r="P66" i="22"/>
  <c r="Q60" i="22"/>
  <c r="U34" i="22"/>
  <c r="W33" i="22"/>
  <c r="P32" i="22"/>
  <c r="W31" i="22"/>
  <c r="X27" i="22"/>
  <c r="W27" i="22"/>
  <c r="T27" i="22"/>
  <c r="Q27" i="22"/>
  <c r="P27" i="22"/>
  <c r="P26" i="22"/>
  <c r="Q24" i="22"/>
  <c r="P24" i="22"/>
  <c r="F18" i="22"/>
  <c r="T18" i="22" s="1"/>
  <c r="P19" i="22"/>
  <c r="F9" i="22"/>
  <c r="U9" i="22" s="1"/>
  <c r="X11" i="22"/>
  <c r="Q7" i="22"/>
  <c r="Z62" i="22"/>
  <c r="V72" i="22"/>
  <c r="V68" i="22" s="1"/>
  <c r="S81" i="22"/>
  <c r="Q66" i="22"/>
  <c r="P64" i="22"/>
  <c r="X58" i="22"/>
  <c r="P52" i="22"/>
  <c r="U29" i="22"/>
  <c r="X33" i="22"/>
  <c r="Q32" i="22"/>
  <c r="W30" i="22"/>
  <c r="F22" i="22"/>
  <c r="T22" i="22" s="1"/>
  <c r="X17" i="22"/>
  <c r="W17" i="22"/>
  <c r="W16" i="22"/>
  <c r="Q17" i="22"/>
  <c r="Q16" i="22"/>
  <c r="P17" i="22"/>
  <c r="P16" i="22"/>
  <c r="W12" i="22"/>
  <c r="X13" i="22"/>
  <c r="W13" i="22"/>
  <c r="P12" i="22"/>
  <c r="Q8" i="22"/>
  <c r="P7" i="22"/>
  <c r="X8" i="22"/>
  <c r="U8" i="22"/>
  <c r="P82" i="22"/>
  <c r="X20" i="22"/>
  <c r="W19" i="22"/>
  <c r="U33" i="22"/>
  <c r="W20" i="22"/>
  <c r="U19" i="22"/>
  <c r="U13" i="22"/>
  <c r="X7" i="22"/>
  <c r="S33" i="22"/>
  <c r="X32" i="22"/>
  <c r="Y32" i="22" s="1"/>
  <c r="W21" i="22"/>
  <c r="S19" i="22"/>
  <c r="S13" i="22"/>
  <c r="W7" i="22"/>
  <c r="W66" i="22"/>
  <c r="W32" i="22"/>
  <c r="U27" i="22"/>
  <c r="W26" i="22"/>
  <c r="X24" i="22"/>
  <c r="S21" i="22"/>
  <c r="Q20" i="22"/>
  <c r="U17" i="22"/>
  <c r="U7" i="22"/>
  <c r="U66" i="22"/>
  <c r="Q33" i="22"/>
  <c r="W29" i="22"/>
  <c r="W24" i="22"/>
  <c r="P20" i="22"/>
  <c r="Q19" i="22"/>
  <c r="S17" i="22"/>
  <c r="X16" i="22"/>
  <c r="Q13" i="22"/>
  <c r="W8" i="22"/>
  <c r="F71" i="22"/>
  <c r="D50" i="22"/>
  <c r="D101" i="22" s="1"/>
  <c r="U25" i="22"/>
  <c r="U10" i="22"/>
  <c r="U31" i="22"/>
  <c r="T25" i="22"/>
  <c r="U12" i="22"/>
  <c r="T10" i="22"/>
  <c r="T31" i="22"/>
  <c r="T29" i="22"/>
  <c r="T26" i="22"/>
  <c r="S25" i="22"/>
  <c r="S23" i="22"/>
  <c r="S10" i="22"/>
  <c r="S26" i="22"/>
  <c r="U24" i="22"/>
  <c r="T20" i="22"/>
  <c r="X34" i="22"/>
  <c r="Q34" i="22"/>
  <c r="T32" i="22"/>
  <c r="T30" i="22"/>
  <c r="X28" i="22"/>
  <c r="Y28" i="22" s="1"/>
  <c r="Q28" i="22"/>
  <c r="X25" i="22"/>
  <c r="Y25" i="22" s="1"/>
  <c r="Q25" i="22"/>
  <c r="T24" i="22"/>
  <c r="X23" i="22"/>
  <c r="Q23" i="22"/>
  <c r="S20" i="22"/>
  <c r="T16" i="22"/>
  <c r="F14" i="22"/>
  <c r="U11" i="22"/>
  <c r="X10" i="22"/>
  <c r="Q10" i="22"/>
  <c r="T8" i="22"/>
  <c r="T7" i="22"/>
  <c r="U23" i="22"/>
  <c r="T34" i="22"/>
  <c r="T28" i="22"/>
  <c r="U26" i="22"/>
  <c r="T23" i="22"/>
  <c r="Z22" i="22"/>
  <c r="S34" i="22"/>
  <c r="S28" i="22"/>
  <c r="AA25" i="22"/>
  <c r="T12" i="22"/>
  <c r="U32" i="22"/>
  <c r="S31" i="22"/>
  <c r="U30" i="22"/>
  <c r="S29" i="22"/>
  <c r="U16" i="22"/>
  <c r="S12" i="22"/>
  <c r="W11" i="22"/>
  <c r="W34" i="22"/>
  <c r="X31" i="22"/>
  <c r="X29" i="22"/>
  <c r="W28" i="22"/>
  <c r="P28" i="22"/>
  <c r="X26" i="22"/>
  <c r="W25" i="22"/>
  <c r="W23" i="22"/>
  <c r="Z16" i="22"/>
  <c r="X12" i="22"/>
  <c r="W10" i="22"/>
  <c r="W90" i="22"/>
  <c r="F78" i="22"/>
  <c r="W78" i="22" s="1"/>
  <c r="W58" i="22"/>
  <c r="W38" i="22"/>
  <c r="S90" i="22"/>
  <c r="T65" i="22"/>
  <c r="S49" i="22"/>
  <c r="T48" i="22"/>
  <c r="Q47" i="22"/>
  <c r="W42" i="22"/>
  <c r="U40" i="22"/>
  <c r="Q38" i="22"/>
  <c r="Q90" i="22"/>
  <c r="P87" i="22"/>
  <c r="F86" i="22"/>
  <c r="U86" i="22" s="1"/>
  <c r="Q82" i="22"/>
  <c r="Q64" i="22"/>
  <c r="Q58" i="22"/>
  <c r="P51" i="22"/>
  <c r="X47" i="22"/>
  <c r="P47" i="22"/>
  <c r="P45" i="22"/>
  <c r="S40" i="22"/>
  <c r="Q39" i="22"/>
  <c r="Q36" i="22"/>
  <c r="W47" i="22"/>
  <c r="U47" i="22"/>
  <c r="W87" i="22"/>
  <c r="X64" i="22"/>
  <c r="W49" i="22"/>
  <c r="S47" i="22"/>
  <c r="X36" i="22"/>
  <c r="P81" i="22"/>
  <c r="T79" i="22"/>
  <c r="U64" i="22"/>
  <c r="T63" i="22"/>
  <c r="P60" i="22"/>
  <c r="U58" i="22"/>
  <c r="P53" i="22"/>
  <c r="T49" i="22"/>
  <c r="P48" i="22"/>
  <c r="X40" i="22"/>
  <c r="U39" i="22"/>
  <c r="D99" i="22"/>
  <c r="E72" i="22"/>
  <c r="E68" i="22" s="1"/>
  <c r="G92" i="22"/>
  <c r="W79" i="22"/>
  <c r="T59" i="22"/>
  <c r="W51" i="22"/>
  <c r="X82" i="22"/>
  <c r="S93" i="22"/>
  <c r="U45" i="22"/>
  <c r="U44" i="22"/>
  <c r="T43" i="22"/>
  <c r="S58" i="22"/>
  <c r="S45" i="22"/>
  <c r="T44" i="22"/>
  <c r="W43" i="22"/>
  <c r="Q42" i="22"/>
  <c r="S38" i="22"/>
  <c r="G105" i="22"/>
  <c r="F105" i="22" s="1"/>
  <c r="S88" i="22"/>
  <c r="Q79" i="22"/>
  <c r="S63" i="22"/>
  <c r="N68" i="22"/>
  <c r="Q51" i="22"/>
  <c r="T46" i="22"/>
  <c r="Q45" i="22"/>
  <c r="U43" i="22"/>
  <c r="X42" i="22"/>
  <c r="P42" i="22"/>
  <c r="X38" i="22"/>
  <c r="Y38" i="22" s="1"/>
  <c r="U42" i="22"/>
  <c r="S35" i="22"/>
  <c r="P93" i="22"/>
  <c r="S89" i="22"/>
  <c r="X79" i="22"/>
  <c r="O68" i="22"/>
  <c r="F70" i="22"/>
  <c r="Q70" i="22" s="1"/>
  <c r="P43" i="22"/>
  <c r="S42" i="22"/>
  <c r="F95" i="22"/>
  <c r="W95" i="22" s="1"/>
  <c r="W48" i="22"/>
  <c r="U38" i="22"/>
  <c r="V107" i="22"/>
  <c r="V106" i="22" s="1"/>
  <c r="V103" i="22" s="1"/>
  <c r="T41" i="22"/>
  <c r="T91" i="22"/>
  <c r="S79" i="22"/>
  <c r="S48" i="22"/>
  <c r="S43" i="22"/>
  <c r="D106" i="22"/>
  <c r="D103" i="22" s="1"/>
  <c r="N99" i="22"/>
  <c r="X88" i="22"/>
  <c r="W89" i="22"/>
  <c r="U89" i="22"/>
  <c r="W82" i="22"/>
  <c r="U51" i="22"/>
  <c r="F96" i="22"/>
  <c r="W96" i="22" s="1"/>
  <c r="T89" i="22"/>
  <c r="W88" i="22"/>
  <c r="U82" i="22"/>
  <c r="T51" i="22"/>
  <c r="U48" i="22"/>
  <c r="T38" i="22"/>
  <c r="P35" i="22"/>
  <c r="O107" i="22"/>
  <c r="O106" i="22" s="1"/>
  <c r="O103" i="22" s="1"/>
  <c r="R92" i="22"/>
  <c r="U79" i="22"/>
  <c r="S64" i="22"/>
  <c r="T64" i="22"/>
  <c r="F62" i="22"/>
  <c r="F37" i="22"/>
  <c r="R107" i="22"/>
  <c r="S97" i="22"/>
  <c r="W97" i="22"/>
  <c r="T52" i="22"/>
  <c r="S52" i="22"/>
  <c r="E107" i="22"/>
  <c r="E106" i="22" s="1"/>
  <c r="V99" i="22"/>
  <c r="H107" i="22"/>
  <c r="P65" i="22"/>
  <c r="W65" i="22"/>
  <c r="Q65" i="22"/>
  <c r="P63" i="22"/>
  <c r="W63" i="22"/>
  <c r="Q63" i="22"/>
  <c r="X63" i="22"/>
  <c r="P59" i="22"/>
  <c r="W59" i="22"/>
  <c r="Q59" i="22"/>
  <c r="X59" i="22"/>
  <c r="W52" i="22"/>
  <c r="S46" i="22"/>
  <c r="Q46" i="22"/>
  <c r="X46" i="22"/>
  <c r="U41" i="22"/>
  <c r="T40" i="22"/>
  <c r="E105" i="22"/>
  <c r="F104" i="22"/>
  <c r="U93" i="22"/>
  <c r="U85" i="22"/>
  <c r="S80" i="22"/>
  <c r="W80" i="22"/>
  <c r="X80" i="22"/>
  <c r="D72" i="22"/>
  <c r="D68" i="22" s="1"/>
  <c r="T66" i="22"/>
  <c r="T60" i="22"/>
  <c r="S60" i="22"/>
  <c r="U52" i="22"/>
  <c r="W46" i="22"/>
  <c r="T39" i="22"/>
  <c r="S39" i="22"/>
  <c r="T36" i="22"/>
  <c r="S36" i="22"/>
  <c r="N108" i="22"/>
  <c r="T93" i="22"/>
  <c r="H99" i="22"/>
  <c r="T82" i="22"/>
  <c r="E78" i="22"/>
  <c r="F73" i="22"/>
  <c r="U65" i="22"/>
  <c r="U63" i="22"/>
  <c r="W60" i="22"/>
  <c r="U59" i="22"/>
  <c r="U46" i="22"/>
  <c r="T45" i="22"/>
  <c r="S44" i="22"/>
  <c r="Q44" i="22"/>
  <c r="W39" i="22"/>
  <c r="W36" i="22"/>
  <c r="S91" i="22"/>
  <c r="Q91" i="22"/>
  <c r="X91" i="22"/>
  <c r="S84" i="22"/>
  <c r="U84" i="22"/>
  <c r="T84" i="22"/>
  <c r="S41" i="22"/>
  <c r="Q41" i="22"/>
  <c r="X41" i="22"/>
  <c r="O99" i="22"/>
  <c r="W91" i="22"/>
  <c r="P85" i="22"/>
  <c r="W85" i="22"/>
  <c r="Q85" i="22"/>
  <c r="X85" i="22"/>
  <c r="X52" i="22"/>
  <c r="W41" i="22"/>
  <c r="G99" i="22"/>
  <c r="W93" i="22"/>
  <c r="U91" i="22"/>
  <c r="T90" i="22"/>
  <c r="S83" i="22"/>
  <c r="X83" i="22"/>
  <c r="W83" i="22"/>
  <c r="W35" i="22"/>
  <c r="A35" i="22"/>
  <c r="A36" i="22" s="1"/>
  <c r="A37" i="22" s="1"/>
  <c r="C5" i="22"/>
  <c r="D5" i="22" s="1"/>
  <c r="E5" i="22" s="1"/>
  <c r="F5" i="22" s="1"/>
  <c r="G5" i="22" s="1"/>
  <c r="R14" i="22" l="1"/>
  <c r="R50" i="22" s="1"/>
  <c r="R101" i="22" s="1"/>
  <c r="N76" i="22"/>
  <c r="H108" i="22"/>
  <c r="H106" i="22"/>
  <c r="H103" i="22" s="1"/>
  <c r="I110" i="22"/>
  <c r="R74" i="22"/>
  <c r="R72" i="22" s="1"/>
  <c r="R68" i="22" s="1"/>
  <c r="W71" i="22"/>
  <c r="Q71" i="22"/>
  <c r="X71" i="22"/>
  <c r="T71" i="22"/>
  <c r="U71" i="22"/>
  <c r="E50" i="22"/>
  <c r="R120" i="22" s="1"/>
  <c r="T105" i="22"/>
  <c r="Q105" i="22"/>
  <c r="X105" i="22"/>
  <c r="U105" i="22"/>
  <c r="D110" i="22"/>
  <c r="D120" i="22" s="1"/>
  <c r="N106" i="22"/>
  <c r="N103" i="22" s="1"/>
  <c r="S70" i="22"/>
  <c r="F92" i="22"/>
  <c r="W92" i="22" s="1"/>
  <c r="Z50" i="22"/>
  <c r="V101" i="22"/>
  <c r="V110" i="22" s="1"/>
  <c r="Z110" i="22" s="1"/>
  <c r="V76" i="22"/>
  <c r="Z76" i="22" s="1"/>
  <c r="P96" i="22"/>
  <c r="P95" i="22"/>
  <c r="U95" i="22"/>
  <c r="T95" i="22"/>
  <c r="X9" i="22"/>
  <c r="S96" i="22"/>
  <c r="Q96" i="22"/>
  <c r="S95" i="22"/>
  <c r="Q95" i="22"/>
  <c r="G50" i="22"/>
  <c r="F50" i="22" s="1"/>
  <c r="P50" i="22" s="1"/>
  <c r="W9" i="22"/>
  <c r="T9" i="22"/>
  <c r="P18" i="22"/>
  <c r="W18" i="22"/>
  <c r="X18" i="22"/>
  <c r="O76" i="22"/>
  <c r="W86" i="22"/>
  <c r="S22" i="22"/>
  <c r="X22" i="22"/>
  <c r="W22" i="22"/>
  <c r="P22" i="22"/>
  <c r="Q22" i="22"/>
  <c r="U22" i="22"/>
  <c r="Q18" i="22"/>
  <c r="U18" i="22"/>
  <c r="S18" i="22"/>
  <c r="S9" i="22"/>
  <c r="Q9" i="22"/>
  <c r="P9" i="22"/>
  <c r="R99" i="22"/>
  <c r="Q78" i="22"/>
  <c r="U70" i="22"/>
  <c r="T70" i="22"/>
  <c r="S71" i="22"/>
  <c r="W70" i="22"/>
  <c r="P71" i="22"/>
  <c r="X78" i="22"/>
  <c r="P70" i="22"/>
  <c r="H101" i="22"/>
  <c r="O110" i="22"/>
  <c r="O120" i="22" s="1"/>
  <c r="D76" i="22"/>
  <c r="H76" i="22"/>
  <c r="Q14" i="22"/>
  <c r="W14" i="22"/>
  <c r="S14" i="22"/>
  <c r="P14" i="22"/>
  <c r="X14" i="22"/>
  <c r="T14" i="22"/>
  <c r="U14" i="22"/>
  <c r="P86" i="22"/>
  <c r="U96" i="22"/>
  <c r="P78" i="22"/>
  <c r="T96" i="22"/>
  <c r="T78" i="22"/>
  <c r="S86" i="22"/>
  <c r="S78" i="22"/>
  <c r="X86" i="22"/>
  <c r="Q86" i="22"/>
  <c r="E103" i="22"/>
  <c r="N101" i="22"/>
  <c r="F99" i="22"/>
  <c r="T104" i="22"/>
  <c r="U104" i="22"/>
  <c r="S104" i="22"/>
  <c r="W104" i="22"/>
  <c r="P104" i="22"/>
  <c r="Q104" i="22"/>
  <c r="P37" i="22"/>
  <c r="T37" i="22"/>
  <c r="U37" i="22"/>
  <c r="S37" i="22"/>
  <c r="W37" i="22"/>
  <c r="X37" i="22"/>
  <c r="Q37" i="22"/>
  <c r="T86" i="22"/>
  <c r="F74" i="22"/>
  <c r="G108" i="22"/>
  <c r="F107" i="22"/>
  <c r="E92" i="22"/>
  <c r="R122" i="22" s="1"/>
  <c r="U78" i="22"/>
  <c r="Q62" i="22"/>
  <c r="W62" i="22"/>
  <c r="U62" i="22"/>
  <c r="P62" i="22"/>
  <c r="S62" i="22"/>
  <c r="T62" i="22"/>
  <c r="X62" i="22"/>
  <c r="S105" i="22"/>
  <c r="P105" i="22"/>
  <c r="W105" i="22"/>
  <c r="G68" i="22"/>
  <c r="F72" i="22"/>
  <c r="Z99" i="22"/>
  <c r="P73" i="22"/>
  <c r="T73" i="22"/>
  <c r="U73" i="22"/>
  <c r="W73" i="22"/>
  <c r="X73" i="22"/>
  <c r="Q73" i="22"/>
  <c r="S73" i="22"/>
  <c r="H5" i="22"/>
  <c r="H110" i="22" l="1"/>
  <c r="R76" i="22"/>
  <c r="R108" i="22"/>
  <c r="R106" i="22" s="1"/>
  <c r="R103" i="22" s="1"/>
  <c r="I5" i="22"/>
  <c r="J5" i="22" s="1"/>
  <c r="AC76" i="22"/>
  <c r="N110" i="22"/>
  <c r="R121" i="22"/>
  <c r="S92" i="22"/>
  <c r="Q92" i="22"/>
  <c r="P92" i="22"/>
  <c r="X92" i="22"/>
  <c r="T92" i="22"/>
  <c r="E76" i="22"/>
  <c r="U50" i="22"/>
  <c r="Z48" i="22"/>
  <c r="AB48" i="22" s="1"/>
  <c r="G101" i="22"/>
  <c r="F101" i="22" s="1"/>
  <c r="W101" i="22" s="1"/>
  <c r="X50" i="22"/>
  <c r="W50" i="22"/>
  <c r="T50" i="22"/>
  <c r="Q50" i="22"/>
  <c r="S50" i="22"/>
  <c r="R110" i="22"/>
  <c r="P74" i="22"/>
  <c r="X74" i="22"/>
  <c r="Q74" i="22"/>
  <c r="W74" i="22"/>
  <c r="T74" i="22"/>
  <c r="U74" i="22"/>
  <c r="S74" i="22"/>
  <c r="T72" i="22"/>
  <c r="X72" i="22"/>
  <c r="S72" i="22"/>
  <c r="P72" i="22"/>
  <c r="Q72" i="22"/>
  <c r="U72" i="22"/>
  <c r="W72" i="22"/>
  <c r="E101" i="22"/>
  <c r="E110" i="22" s="1"/>
  <c r="E99" i="22"/>
  <c r="G76" i="22"/>
  <c r="F68" i="22"/>
  <c r="U92" i="22"/>
  <c r="S107" i="22"/>
  <c r="T107" i="22"/>
  <c r="Q107" i="22"/>
  <c r="U107" i="22"/>
  <c r="W107" i="22"/>
  <c r="P107" i="22"/>
  <c r="X107" i="22"/>
  <c r="S99" i="22"/>
  <c r="T99" i="22"/>
  <c r="W99" i="22"/>
  <c r="P99" i="22"/>
  <c r="X99" i="22"/>
  <c r="Q99" i="22"/>
  <c r="F108" i="22"/>
  <c r="G106" i="22"/>
  <c r="E120" i="22" l="1"/>
  <c r="E122" i="22"/>
  <c r="K5" i="22"/>
  <c r="L5" i="22" s="1"/>
  <c r="T101" i="22"/>
  <c r="S101" i="22"/>
  <c r="Q101" i="22"/>
  <c r="P101" i="22"/>
  <c r="X101" i="22"/>
  <c r="U101" i="22"/>
  <c r="R124" i="22"/>
  <c r="R125" i="22" s="1"/>
  <c r="R123" i="22"/>
  <c r="F106" i="22"/>
  <c r="G103" i="22"/>
  <c r="U108" i="22"/>
  <c r="P108" i="22"/>
  <c r="T108" i="22"/>
  <c r="W108" i="22"/>
  <c r="Q108" i="22"/>
  <c r="X108" i="22"/>
  <c r="S108" i="22"/>
  <c r="X68" i="22"/>
  <c r="S68" i="22"/>
  <c r="T68" i="22"/>
  <c r="U68" i="22"/>
  <c r="P68" i="22"/>
  <c r="Q68" i="22"/>
  <c r="W68" i="22"/>
  <c r="F76" i="22"/>
  <c r="U99" i="22"/>
  <c r="P5" i="22" l="1"/>
  <c r="Q5" i="22" s="1"/>
  <c r="R5" i="22" s="1"/>
  <c r="S5" i="22" s="1"/>
  <c r="T5" i="22" s="1"/>
  <c r="V5" i="22" s="1"/>
  <c r="W5" i="22" s="1"/>
  <c r="X5" i="22" s="1"/>
  <c r="M5" i="22"/>
  <c r="N5" i="22" s="1"/>
  <c r="F103" i="22"/>
  <c r="G110" i="22"/>
  <c r="F110" i="22" s="1"/>
  <c r="F122" i="22" s="1"/>
  <c r="Q106" i="22"/>
  <c r="W106" i="22"/>
  <c r="X106" i="22"/>
  <c r="S106" i="22"/>
  <c r="U106" i="22"/>
  <c r="P106" i="22"/>
  <c r="T106" i="22"/>
  <c r="T76" i="22"/>
  <c r="X76" i="22"/>
  <c r="S76" i="22"/>
  <c r="U76" i="22"/>
  <c r="W76" i="22"/>
  <c r="P76" i="22"/>
  <c r="Q76" i="22"/>
  <c r="Q110" i="22" l="1"/>
  <c r="W110" i="22"/>
  <c r="X110" i="22"/>
  <c r="U110" i="22"/>
  <c r="P110" i="22"/>
  <c r="F120" i="22"/>
  <c r="S110" i="22"/>
  <c r="T110" i="22"/>
  <c r="X103" i="22"/>
  <c r="S103" i="22"/>
  <c r="P103" i="22"/>
  <c r="Q103" i="22"/>
  <c r="T103" i="22"/>
  <c r="U103" i="22"/>
  <c r="W103" i="22"/>
</calcChain>
</file>

<file path=xl/sharedStrings.xml><?xml version="1.0" encoding="utf-8"?>
<sst xmlns="http://schemas.openxmlformats.org/spreadsheetml/2006/main" count="223" uniqueCount="212">
  <si>
    <t>№ п/п</t>
  </si>
  <si>
    <t>Найменування доходів</t>
  </si>
  <si>
    <t>Код бюджетної класифікації</t>
  </si>
  <si>
    <t>%</t>
  </si>
  <si>
    <t>1</t>
  </si>
  <si>
    <t>2</t>
  </si>
  <si>
    <t>ЗАГАЛЬНИЙ ФОНД</t>
  </si>
  <si>
    <t>Плата за землю</t>
  </si>
  <si>
    <t>Інші надходження</t>
  </si>
  <si>
    <t>СПЕЦІАЛЬНИЙ ФОНД</t>
  </si>
  <si>
    <t>Бюджет розвитку, в т.ч.</t>
  </si>
  <si>
    <t>Цільові фонди, утворені органами місцевого самоврядування</t>
  </si>
  <si>
    <t>Власні надходження бюджетних установ</t>
  </si>
  <si>
    <t>тис.грн.</t>
  </si>
  <si>
    <t>11010000</t>
  </si>
  <si>
    <t>22090000</t>
  </si>
  <si>
    <t>11020200</t>
  </si>
  <si>
    <t>21010300</t>
  </si>
  <si>
    <t>21080500</t>
  </si>
  <si>
    <t>22080400</t>
  </si>
  <si>
    <t>24060300</t>
  </si>
  <si>
    <t>25000000</t>
  </si>
  <si>
    <t>31030000</t>
  </si>
  <si>
    <t>50110000</t>
  </si>
  <si>
    <t>21081100</t>
  </si>
  <si>
    <t xml:space="preserve">24062100 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</si>
  <si>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</si>
  <si>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Офіційні трансферти, з них:</t>
  </si>
  <si>
    <t>ВСЬОГО ДОХОДІВ ЗАГАЛЬНОГО ФОНДУ</t>
  </si>
  <si>
    <t>ВСЬОГО трансфертів</t>
  </si>
  <si>
    <t>Адміністративні штрафи та інші санкції</t>
  </si>
  <si>
    <t>19010000</t>
  </si>
  <si>
    <t>Екологічний податок</t>
  </si>
  <si>
    <t>Єдиний податок</t>
  </si>
  <si>
    <t>18050000</t>
  </si>
  <si>
    <t>Надходження від орендної плати за користування цілісним майновим комплексом та іншим майном, що перебуває в комунальній власності</t>
  </si>
  <si>
    <t>Податок на прибуток підприємств та фінансових установ комунальної власності</t>
  </si>
  <si>
    <t>Кошти від відчуження майна, що перебуває в комунальній власності</t>
  </si>
  <si>
    <t>18000000</t>
  </si>
  <si>
    <t>18030000</t>
  </si>
  <si>
    <t>Туристичний збір</t>
  </si>
  <si>
    <t>ВСЬОГО ДОХОДІВ ЗАГАЛЬНОГО ТА СПЕЦІАЛЬНОГО ФОНДІВ</t>
  </si>
  <si>
    <t>ВСЬОГО ДОХОДІВ СПЕЦІАЛЬНОГО ФОНДУ</t>
  </si>
  <si>
    <t>33010000</t>
  </si>
  <si>
    <t>18010000</t>
  </si>
  <si>
    <t>24170000</t>
  </si>
  <si>
    <t>Частина чистого прибутку (доходу) комунальних унітарних підприємств та їх об'єднань, що вилучається до відповідного місцевого бюджету</t>
  </si>
  <si>
    <t>24062200</t>
  </si>
  <si>
    <t xml:space="preserve"> </t>
  </si>
  <si>
    <t>Власні і закіплені З Ф</t>
  </si>
  <si>
    <t>Власні і закіплені С Ф</t>
  </si>
  <si>
    <t>Вього СФ</t>
  </si>
  <si>
    <t>вик.: Серветник М.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</si>
  <si>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</si>
  <si>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Державне мито</t>
  </si>
  <si>
    <t>41033900</t>
  </si>
  <si>
    <t>14040000</t>
  </si>
  <si>
    <t>Податок на нерухоме майно, відмінне від земельної ділянки</t>
  </si>
  <si>
    <t>Транспортний податок</t>
  </si>
  <si>
    <t>Плата за надання інших адміністративних послуг</t>
  </si>
  <si>
    <t>22012500</t>
  </si>
  <si>
    <t>Надходження сум кредиторської та депонентської заборгованості</t>
  </si>
  <si>
    <t>24030000</t>
  </si>
  <si>
    <t>січень</t>
  </si>
  <si>
    <t>24110700</t>
  </si>
  <si>
    <t>Податок та збір на доходи фізичних осіб</t>
  </si>
  <si>
    <t>Кошти від продажу землі</t>
  </si>
  <si>
    <t>21050000</t>
  </si>
  <si>
    <t>Плата за розміщення тимчасово вільних коштів місцевих бюджетів</t>
  </si>
  <si>
    <t>41034900</t>
  </si>
  <si>
    <t>Субвенції, з них:</t>
  </si>
  <si>
    <t>22010300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</si>
  <si>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</si>
  <si>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22012600</t>
  </si>
  <si>
    <t>22012900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</si>
  <si>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юридичних осіб, фізичних осіб - підприємців та громадських формувань, а також плата за надання інших платних послуг, пов'язаних з такою державною реєстрацією</t>
  </si>
  <si>
    <t>Адміністративний збір за державну реєстрацію речових прав на нерухоме майно та їх обтяжень</t>
  </si>
  <si>
    <t>21081500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</si>
  <si>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</t>
  </si>
  <si>
    <t>22010000</t>
  </si>
  <si>
    <t>Плата за надання адміністративних послуг:</t>
  </si>
  <si>
    <t>31020000</t>
  </si>
  <si>
    <t>Надходження коштів від Державного фонду дорогоцінних металів і дорогоцінного каміння</t>
  </si>
  <si>
    <t>Надходження коштів від відшкодування втрат сільськогосподарського і лісогосподарського виробництва</t>
  </si>
  <si>
    <t>14000000</t>
  </si>
  <si>
    <t>Внутрішні податки на товари та послуги, в тому числі:</t>
  </si>
  <si>
    <t>Штрафні санкції за порушення законодавства про патентування, за порушення норм регулювання обігу готівки та про застосування реєстраторів розрахункових операцій у сфері торгівлі, громадського харчування та послуг</t>
  </si>
  <si>
    <t>21080900</t>
  </si>
  <si>
    <t>Ірина Ларіна</t>
  </si>
  <si>
    <t>Акцизний податок з вироблених в Україні підакцизних товарів (продукції) (Пальне)</t>
  </si>
  <si>
    <t>Акцизний податок з ввезених на митну територію України підакцизних товарів (продукції) (Пальне)</t>
  </si>
  <si>
    <t>Акцизний податок з реалізації суб'єктами господарювання роздрібної торгівлі підакцизних товарів</t>
  </si>
  <si>
    <t>22130000</t>
  </si>
  <si>
    <t>Орендна плата за водні об'єкти (їх частини), що надаються в користування на умовах оренди Радою міністрів Автономної Республіки Крим, обласними, районними, Київською та Севастопольською міськими державними адміністраціями, місцевими радами</t>
  </si>
  <si>
    <t>з них: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</si>
  <si>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</si>
  <si>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13010200</t>
  </si>
  <si>
    <t>- з місцевого бюджету (ККД 41050000)</t>
  </si>
  <si>
    <t>-з державного бюджету (ККД 41030000)</t>
  </si>
  <si>
    <t>13030100</t>
  </si>
  <si>
    <t>Рентна плата та плата за використання інших природних ресурсів</t>
  </si>
  <si>
    <t>13000000</t>
  </si>
  <si>
    <t>3.1.</t>
  </si>
  <si>
    <t>3.2.</t>
  </si>
  <si>
    <t>3.3.</t>
  </si>
  <si>
    <t>Плата за встановлення земельного сервітуту</t>
  </si>
  <si>
    <t>21081700</t>
  </si>
  <si>
    <t>41040200</t>
  </si>
  <si>
    <t>41053900</t>
  </si>
  <si>
    <t>Дотації з місцевих бюджетів іншим місцевим бюджетам</t>
  </si>
  <si>
    <t xml:space="preserve">Надходження від плати за послуги, що надаються бюджетними установами згідно із законодавством </t>
  </si>
  <si>
    <t>25010000</t>
  </si>
  <si>
    <t xml:space="preserve">Інші джерела власних надходжень бюджетних установ  </t>
  </si>
  <si>
    <t>25020000</t>
  </si>
  <si>
    <t>1.1.</t>
  </si>
  <si>
    <t>1.2.</t>
  </si>
  <si>
    <t>41051000</t>
  </si>
  <si>
    <t>4.1.</t>
  </si>
  <si>
    <t>4.2.</t>
  </si>
  <si>
    <t>31010200</t>
  </si>
  <si>
    <t>Кошти від реалізації безхазяйного майна, знахідок, спадкового майна, майна, одержаного територіальною громадою в порядку спадкування чи дарування, а також валютні цінності і грошові кошти, власники яких невідомі</t>
  </si>
  <si>
    <t>13040100</t>
  </si>
  <si>
    <t xml:space="preserve">Рентна плата за користування надрами для видобування корисних копалин місцевого значення </t>
  </si>
  <si>
    <t xml:space="preserve">Рентна плата за користування надрами для видобування інших корисних копалин загальнодержавного значення </t>
  </si>
  <si>
    <t>Плата за гарантії, надані Верховною Радою Автономної Республіки Крим, міськими та обласними радами</t>
  </si>
  <si>
    <t>ВСЬОГО ДОХОДІВ ЗАГАЛЬНОГО 
ТА СПЕЦІАЛЬНОГО ФОНДІВ</t>
  </si>
  <si>
    <t xml:space="preserve">Рентна плата за спеціальне використання лісових ресурсів в частині деревини, заготовленої в порядку рубок головного користування </t>
  </si>
  <si>
    <t>13010100</t>
  </si>
  <si>
    <t>3.4.</t>
  </si>
  <si>
    <t>Кошти гарантійного та реєстраційного внесків, що визначені Законом України 'Про оренду державного та комунального майна', які підлягають перерахуванню оператором електронного майданчика до відповідного бюджету</t>
  </si>
  <si>
    <t>21082400</t>
  </si>
  <si>
    <t>Надходження коштів пайової участі у розвитку інфраструктури населеного пункту</t>
  </si>
  <si>
    <t>Місцеві податки та збори, що сплачуються (перераховуються) згідно з Податковим кодексом України</t>
  </si>
  <si>
    <t>Бюджет 
на 2023 рік</t>
  </si>
  <si>
    <t>Уточнений бюджет на 2023 рік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</si>
  <si>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</si>
  <si>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суб’єктами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</si>
  <si>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лютий</t>
  </si>
  <si>
    <t xml:space="preserve">Місцеві податки, нараховані до 1 січня 2011 року   </t>
  </si>
  <si>
    <t>16012200</t>
  </si>
  <si>
    <t>6.1.</t>
  </si>
  <si>
    <t>6.2.</t>
  </si>
  <si>
    <t>6.3.</t>
  </si>
  <si>
    <t>6.4.</t>
  </si>
  <si>
    <t>6.5.</t>
  </si>
  <si>
    <t xml:space="preserve">Податок з власників наземних, водних транспортних засобів та інших самохідних машин і механізмів   </t>
  </si>
  <si>
    <t>12020900</t>
  </si>
  <si>
    <t xml:space="preserve">Інші збори за забруднення навколишнього природного середовища до Фонду охорони навколишнього природного середовища   </t>
  </si>
  <si>
    <t>19050200</t>
  </si>
  <si>
    <t>7.1.</t>
  </si>
  <si>
    <t>7.2.</t>
  </si>
  <si>
    <t>7.3.</t>
  </si>
  <si>
    <t>7.4.</t>
  </si>
  <si>
    <t>21081800</t>
  </si>
  <si>
    <t xml:space="preserve">Адміністративні штрафи за адміністративні правопорушення у сфері забезпечення безпеки дорожнього руху, зафіксовані в автоматичному режимі </t>
  </si>
  <si>
    <t>16.1.</t>
  </si>
  <si>
    <t>16.2.</t>
  </si>
  <si>
    <t>16.3.</t>
  </si>
  <si>
    <t>16.4.</t>
  </si>
  <si>
    <t>березень</t>
  </si>
  <si>
    <t>41021400</t>
  </si>
  <si>
    <t>41051700</t>
  </si>
  <si>
    <t xml:space="preserve">Дотації з державного бюджету місцевим бюджетам 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</si>
  <si>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зв'язку з повномасштабною збройною агресією Російської Федерації</t>
  </si>
  <si>
    <t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</t>
  </si>
  <si>
    <t>Освітня субвенція з державного бюджету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</si>
  <si>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</si>
  <si>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</si>
  <si>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</si>
  <si>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Інші субвенції з місцевого бюджету</t>
  </si>
  <si>
    <t>* на відшкодування витрат на поховання учасників бойових дій та осіб з інвалідністю внаслідок війни</t>
  </si>
  <si>
    <t>* на пільгове медичне обслуговування  громадян, які постраждали внаслідок Чорнобильської катастрофи</t>
  </si>
  <si>
    <t>* на компенсаційні виплати особам з інвалідністю на бензин (пальне), ремонт, техобслуговування автотранспорту та на транспортне обслуговування, встановлення телефонів особам з інвалідністю І та ІІ груп</t>
  </si>
  <si>
    <t>* для забезпечення витратними матеріалами (кардіовиробами) хворих області в КНП "Вінницький регіональний клінічний лікувально-діагностичний центр серцево-судинної патології"</t>
  </si>
  <si>
    <t>Субвенція з державного бюджету місцевим бюджетам на реформуваннярегіональних систем охорони здоров’я для здійснення заходів з виконання спільного з Міжнародним банком реконструкції та розвитку проекту «Поліпшення охорони здоров’я на службі у людей»</t>
  </si>
  <si>
    <t>квітень</t>
  </si>
  <si>
    <t>травень</t>
  </si>
  <si>
    <t>41040400</t>
  </si>
  <si>
    <t>Інші дотації з місцевого бюджету</t>
  </si>
  <si>
    <t>4.1.1.</t>
  </si>
  <si>
    <t>4.1.2.</t>
  </si>
  <si>
    <t>4.2.1.</t>
  </si>
  <si>
    <t>4.2.2.</t>
  </si>
  <si>
    <t>Акцизний податок з вироблених та ввезених в Україну підакцизних товарів (продукції) (Пальне), в тому числі:</t>
  </si>
  <si>
    <t>червень</t>
  </si>
  <si>
    <t>*субвенція з обласного бюджету на компенсаційні виплати за пільговий проїзд окремих категорій громадян на міжміських внутрішньообласних маршрутах загального користування</t>
  </si>
  <si>
    <t>Всього власних доходів спеціального фонду</t>
  </si>
  <si>
    <t>Всього власних доходів загального фонду</t>
  </si>
  <si>
    <t>Власні доходи</t>
  </si>
  <si>
    <t>липень</t>
  </si>
  <si>
    <t xml:space="preserve">
14021900
14031900</t>
  </si>
  <si>
    <t>Субвенція з місцевого бюджету на виплату грошової компенсації за належні для отримання жилі приміщення для сімей осіб, визначених пунктами 2 – 5 частини першої 
статті 10-1 Закону України «Про статус ветеранів війни, гарантії їх соціального захисту», для осіб з інвалідністю I –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визначених пунктами 11 – 14 частини другої статті 7 Закону України «Про статус ветеранів війни, гарантії їх соціального захисту»,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</si>
  <si>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учасників бойових дій на території інших держав, визначених у абзаці першому пункту 1 статті 10 Закону України «Про статус ветеранів війни, гарантії їх соціального захисту», для осіб з інвалідністю I-II групи з числа учасників бойових дій на території інших держав, інвалідність яких настала внаслідок поранення, контузії, каліцтва або захворювання, пов'язаних з перебуванням у цих державах, визначених пунктом 7 частини другої статті 7 Закону України «Про статус ветеранів війни, гарантії їх соціального захисту»,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</si>
  <si>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безпосереденьо в районах та у період здійснення  зазначених заходів, та визнані особами з інвалідністю внаслідок війни III групи відповідно до пунктів 11-14 частини другої статті 7 або учасниками бойових дій відповідно до пунктів 19-20 частини першої статті 6 Закону України «Про статус ветеранів війни, гарантії їх соціального захисту», та які потребують поліпшення житлових умов за рахунок відповідної субвенції з державного бюджету</t>
  </si>
  <si>
    <t>41059000</t>
  </si>
  <si>
    <t>Субвенція з місцевого бюджету на облаштування безпечних умов у закладах загальної середньої освіти за рахунок відповідної субвенції з державного бюджету</t>
  </si>
  <si>
    <t>12.1.</t>
  </si>
  <si>
    <t>12.2.</t>
  </si>
  <si>
    <t>12.3.</t>
  </si>
  <si>
    <t>12.4.</t>
  </si>
  <si>
    <t>12.5.</t>
  </si>
  <si>
    <t>Надійшло за 8 місяців 2023р.</t>
  </si>
  <si>
    <t>серпень</t>
  </si>
  <si>
    <t>% виконання до плану на 2023р. (норма 66,7%)</t>
  </si>
  <si>
    <t>План на 8 місяців 2023 року</t>
  </si>
  <si>
    <t>Відхилення надходжень до бюджету на 8 місяців 2023 року</t>
  </si>
  <si>
    <t>План на 8 місяців 2023р. (розрахунковий)</t>
  </si>
  <si>
    <t xml:space="preserve">Відхилення надходжень до бюджету на 8 місяців 2023 року (розрахунковий) </t>
  </si>
  <si>
    <t>Надійшло за 8 місяців 2022р.</t>
  </si>
  <si>
    <t>Відхилення факту 8 місяців 2023р. від факту 8 місяців 2022р.</t>
  </si>
  <si>
    <t>Аналіз виконання бюджету Вінницької міської територіальної громади за 8 місяців 2023 року</t>
  </si>
  <si>
    <t>Заступник директора департаменту - 
начальник відділу доходів бюджету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</si>
</sst>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#,##0.000"/>
    <numFmt numFmtId="167" formatCode="#,##0.00000"/>
    <numFmt numFmtId="168" formatCode="#,##0.0"/>
  </numFmts>
  <fonts count="44" x14ac:knownFonts="1">
    <font>
      <sz val="10"/>
      <name val="Arial"/>
    </font>
    <font>
      <sz val="10"/>
      <name val="Arial Cyr"/>
      <charset val="204"/>
    </font>
    <font>
      <sz val="10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2"/>
      <name val="Times New Roman Cyr"/>
      <charset val="204"/>
    </font>
    <font>
      <i/>
      <sz val="12"/>
      <name val="Times New Roman Cyr"/>
      <charset val="204"/>
    </font>
    <font>
      <sz val="14"/>
      <name val="Times New Roman Cyr"/>
      <family val="1"/>
      <charset val="204"/>
    </font>
    <font>
      <sz val="11"/>
      <name val="Times New Roman Cyr"/>
      <family val="1"/>
      <charset val="204"/>
    </font>
    <font>
      <b/>
      <sz val="14"/>
      <name val="Times New Roman Cyr"/>
      <charset val="204"/>
    </font>
    <font>
      <b/>
      <sz val="16"/>
      <name val="Times New Roman Cyr"/>
      <family val="1"/>
      <charset val="204"/>
    </font>
    <font>
      <sz val="16"/>
      <name val="Times New Roman Cyr"/>
      <family val="1"/>
      <charset val="204"/>
    </font>
    <font>
      <b/>
      <sz val="16"/>
      <name val="Times New Roman Cyr"/>
      <charset val="204"/>
    </font>
    <font>
      <sz val="16"/>
      <name val="Times New Roman Cyr"/>
      <charset val="204"/>
    </font>
    <font>
      <i/>
      <sz val="16"/>
      <name val="Times New Roman Cyr"/>
      <charset val="204"/>
    </font>
    <font>
      <sz val="16"/>
      <name val="Times New Roman"/>
      <family val="1"/>
      <charset val="204"/>
    </font>
    <font>
      <b/>
      <sz val="24"/>
      <name val="Times New Roman Cyr"/>
      <family val="1"/>
      <charset val="204"/>
    </font>
    <font>
      <b/>
      <sz val="24"/>
      <name val="Times New Roman Cyr"/>
      <charset val="204"/>
    </font>
    <font>
      <sz val="24"/>
      <name val="Times New Roman Cyr"/>
      <charset val="204"/>
    </font>
    <font>
      <sz val="11"/>
      <name val="Times New Roman Cyr"/>
      <charset val="204"/>
    </font>
    <font>
      <b/>
      <sz val="16"/>
      <name val="Times New Roman"/>
      <family val="1"/>
      <charset val="204"/>
    </font>
    <font>
      <b/>
      <i/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Times New Roman"/>
      <family val="1"/>
      <charset val="204"/>
    </font>
    <font>
      <i/>
      <sz val="15"/>
      <name val="Times New Roman"/>
      <family val="1"/>
      <charset val="204"/>
    </font>
    <font>
      <sz val="12"/>
      <name val="Times New Roman Cyr"/>
      <charset val="204"/>
    </font>
    <font>
      <b/>
      <sz val="12"/>
      <name val="Times New Roman Cyr"/>
      <family val="1"/>
      <charset val="204"/>
    </font>
    <font>
      <i/>
      <sz val="16"/>
      <name val="Times New Roman Cyr"/>
      <family val="1"/>
      <charset val="204"/>
    </font>
    <font>
      <i/>
      <sz val="12"/>
      <name val="Times New Roman Cyr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 Cyr"/>
      <charset val="204"/>
    </font>
    <font>
      <b/>
      <sz val="18"/>
      <name val="Times New Roman"/>
      <family val="1"/>
      <charset val="204"/>
    </font>
    <font>
      <b/>
      <sz val="18"/>
      <name val="Times New Roman Cyr"/>
      <family val="1"/>
      <charset val="204"/>
    </font>
    <font>
      <sz val="10"/>
      <name val="Arial"/>
      <family val="2"/>
      <charset val="204"/>
    </font>
    <font>
      <sz val="15"/>
      <name val="Times New Roman Cyr"/>
      <charset val="204"/>
    </font>
    <font>
      <b/>
      <i/>
      <sz val="18"/>
      <name val="Times New Roman"/>
      <family val="1"/>
      <charset val="204"/>
    </font>
    <font>
      <sz val="18"/>
      <name val="Times New Roman"/>
      <family val="1"/>
      <charset val="204"/>
    </font>
    <font>
      <i/>
      <sz val="18"/>
      <name val="Times New Roman"/>
      <family val="1"/>
      <charset val="204"/>
    </font>
    <font>
      <i/>
      <sz val="15"/>
      <name val="Times New Roman Cyr"/>
      <charset val="204"/>
    </font>
    <font>
      <b/>
      <sz val="19"/>
      <name val="Times New Roman Cyr"/>
      <charset val="204"/>
    </font>
    <font>
      <b/>
      <sz val="19"/>
      <name val="Times New Roman"/>
      <family val="1"/>
      <charset val="204"/>
    </font>
    <font>
      <i/>
      <sz val="18"/>
      <name val="Times New Roman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35" fillId="0" borderId="0"/>
  </cellStyleXfs>
  <cellXfs count="198">
    <xf numFmtId="0" fontId="0" fillId="0" borderId="0" xfId="0"/>
    <xf numFmtId="0" fontId="2" fillId="0" borderId="0" xfId="2" applyFont="1" applyFill="1" applyBorder="1" applyAlignment="1">
      <alignment horizontal="center" vertical="center" wrapText="1"/>
    </xf>
    <xf numFmtId="0" fontId="4" fillId="0" borderId="0" xfId="2" applyFont="1" applyFill="1" applyBorder="1"/>
    <xf numFmtId="0" fontId="2" fillId="0" borderId="0" xfId="2" applyFont="1" applyFill="1" applyBorder="1"/>
    <xf numFmtId="0" fontId="7" fillId="0" borderId="0" xfId="2" applyFont="1" applyFill="1" applyBorder="1"/>
    <xf numFmtId="0" fontId="7" fillId="0" borderId="0" xfId="2" applyFont="1" applyFill="1" applyBorder="1" applyAlignment="1">
      <alignment horizontal="center" vertical="center" wrapText="1"/>
    </xf>
    <xf numFmtId="49" fontId="6" fillId="0" borderId="0" xfId="1" applyNumberFormat="1" applyFont="1" applyFill="1" applyBorder="1" applyAlignment="1">
      <alignment horizontal="center" vertical="center"/>
    </xf>
    <xf numFmtId="165" fontId="6" fillId="0" borderId="0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/>
    <xf numFmtId="165" fontId="20" fillId="0" borderId="1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/>
    <xf numFmtId="49" fontId="21" fillId="0" borderId="1" xfId="1" applyNumberFormat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/>
    </xf>
    <xf numFmtId="0" fontId="5" fillId="0" borderId="0" xfId="1" applyFont="1" applyFill="1" applyBorder="1"/>
    <xf numFmtId="0" fontId="14" fillId="0" borderId="1" xfId="1" applyFont="1" applyFill="1" applyBorder="1" applyAlignment="1">
      <alignment horizontal="center" vertical="center"/>
    </xf>
    <xf numFmtId="0" fontId="9" fillId="0" borderId="0" xfId="1" applyFont="1" applyFill="1" applyBorder="1"/>
    <xf numFmtId="0" fontId="23" fillId="0" borderId="1" xfId="1" applyFont="1" applyFill="1" applyBorder="1" applyAlignment="1">
      <alignment horizontal="left" vertical="center" wrapText="1"/>
    </xf>
    <xf numFmtId="49" fontId="22" fillId="0" borderId="1" xfId="1" applyNumberFormat="1" applyFont="1" applyFill="1" applyBorder="1" applyAlignment="1">
      <alignment horizontal="center" vertical="center" wrapText="1"/>
    </xf>
    <xf numFmtId="0" fontId="3" fillId="0" borderId="0" xfId="2" applyFont="1" applyFill="1" applyBorder="1" applyAlignment="1">
      <alignment horizontal="center"/>
    </xf>
    <xf numFmtId="0" fontId="18" fillId="0" borderId="0" xfId="2" applyFont="1" applyFill="1"/>
    <xf numFmtId="0" fontId="2" fillId="0" borderId="0" xfId="2" applyFont="1" applyFill="1"/>
    <xf numFmtId="0" fontId="18" fillId="0" borderId="0" xfId="2" applyFont="1" applyFill="1" applyBorder="1"/>
    <xf numFmtId="0" fontId="17" fillId="0" borderId="0" xfId="2" applyFont="1" applyFill="1"/>
    <xf numFmtId="0" fontId="3" fillId="0" borderId="0" xfId="2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49" fontId="15" fillId="0" borderId="1" xfId="1" applyNumberFormat="1" applyFont="1" applyFill="1" applyBorder="1" applyAlignment="1">
      <alignment horizontal="center" vertical="center" wrapText="1"/>
    </xf>
    <xf numFmtId="49" fontId="20" fillId="0" borderId="1" xfId="1" applyNumberFormat="1" applyFont="1" applyFill="1" applyBorder="1" applyAlignment="1">
      <alignment horizontal="center" vertical="center" wrapText="1"/>
    </xf>
    <xf numFmtId="0" fontId="26" fillId="0" borderId="0" xfId="1" applyFont="1" applyFill="1" applyBorder="1"/>
    <xf numFmtId="49" fontId="14" fillId="0" borderId="1" xfId="1" applyNumberFormat="1" applyFont="1" applyFill="1" applyBorder="1" applyAlignment="1">
      <alignment horizontal="center" vertical="center"/>
    </xf>
    <xf numFmtId="0" fontId="7" fillId="0" borderId="0" xfId="2" applyFont="1" applyFill="1"/>
    <xf numFmtId="0" fontId="4" fillId="0" borderId="0" xfId="2" applyFont="1" applyFill="1"/>
    <xf numFmtId="0" fontId="19" fillId="0" borderId="0" xfId="2" applyFont="1" applyFill="1"/>
    <xf numFmtId="0" fontId="12" fillId="0" borderId="0" xfId="1" applyFont="1" applyFill="1" applyBorder="1"/>
    <xf numFmtId="0" fontId="2" fillId="2" borderId="0" xfId="2" applyFont="1" applyFill="1" applyBorder="1"/>
    <xf numFmtId="49" fontId="13" fillId="0" borderId="1" xfId="2" applyNumberFormat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/>
    </xf>
    <xf numFmtId="0" fontId="27" fillId="0" borderId="0" xfId="1" applyFont="1" applyFill="1" applyBorder="1"/>
    <xf numFmtId="0" fontId="12" fillId="0" borderId="0" xfId="1" applyFont="1" applyFill="1" applyBorder="1" applyAlignment="1">
      <alignment horizontal="center" vertical="center"/>
    </xf>
    <xf numFmtId="0" fontId="23" fillId="0" borderId="0" xfId="1" applyFont="1" applyFill="1" applyBorder="1" applyAlignment="1">
      <alignment horizontal="left" vertical="center" wrapText="1"/>
    </xf>
    <xf numFmtId="49" fontId="20" fillId="0" borderId="0" xfId="1" applyNumberFormat="1" applyFont="1" applyFill="1" applyBorder="1" applyAlignment="1">
      <alignment horizontal="center" vertical="center" wrapText="1"/>
    </xf>
    <xf numFmtId="166" fontId="20" fillId="0" borderId="0" xfId="1" applyNumberFormat="1" applyFont="1" applyFill="1" applyBorder="1" applyAlignment="1">
      <alignment horizontal="center" vertical="center" wrapText="1"/>
    </xf>
    <xf numFmtId="0" fontId="15" fillId="0" borderId="1" xfId="1" applyNumberFormat="1" applyFont="1" applyFill="1" applyBorder="1" applyAlignment="1">
      <alignment horizontal="left" vertical="center" wrapText="1"/>
    </xf>
    <xf numFmtId="0" fontId="28" fillId="0" borderId="1" xfId="1" applyFont="1" applyFill="1" applyBorder="1" applyAlignment="1">
      <alignment horizontal="center" vertical="center"/>
    </xf>
    <xf numFmtId="0" fontId="29" fillId="0" borderId="0" xfId="1" applyFont="1" applyFill="1" applyBorder="1"/>
    <xf numFmtId="166" fontId="4" fillId="0" borderId="0" xfId="1" applyNumberFormat="1" applyFont="1" applyFill="1" applyBorder="1"/>
    <xf numFmtId="49" fontId="25" fillId="0" borderId="1" xfId="1" applyNumberFormat="1" applyFont="1" applyFill="1" applyBorder="1" applyAlignment="1">
      <alignment horizontal="left" vertical="center" wrapText="1"/>
    </xf>
    <xf numFmtId="164" fontId="4" fillId="0" borderId="0" xfId="1" applyNumberFormat="1" applyFont="1" applyFill="1" applyBorder="1"/>
    <xf numFmtId="0" fontId="32" fillId="2" borderId="1" xfId="1" applyFont="1" applyFill="1" applyBorder="1" applyAlignment="1">
      <alignment horizontal="center" vertical="center"/>
    </xf>
    <xf numFmtId="2" fontId="33" fillId="2" borderId="1" xfId="1" applyNumberFormat="1" applyFont="1" applyFill="1" applyBorder="1" applyAlignment="1">
      <alignment horizontal="center" vertical="center" wrapText="1"/>
    </xf>
    <xf numFmtId="166" fontId="33" fillId="2" borderId="1" xfId="1" applyNumberFormat="1" applyFont="1" applyFill="1" applyBorder="1" applyAlignment="1">
      <alignment horizontal="center" vertical="center" wrapText="1"/>
    </xf>
    <xf numFmtId="0" fontId="32" fillId="2" borderId="0" xfId="1" applyFont="1" applyFill="1" applyBorder="1"/>
    <xf numFmtId="0" fontId="33" fillId="2" borderId="1" xfId="1" applyFont="1" applyFill="1" applyBorder="1" applyAlignment="1">
      <alignment horizontal="center" vertical="center" wrapText="1"/>
    </xf>
    <xf numFmtId="0" fontId="34" fillId="2" borderId="1" xfId="1" applyFont="1" applyFill="1" applyBorder="1" applyAlignment="1">
      <alignment horizontal="center" vertical="center"/>
    </xf>
    <xf numFmtId="49" fontId="33" fillId="2" borderId="1" xfId="1" applyNumberFormat="1" applyFont="1" applyFill="1" applyBorder="1" applyAlignment="1">
      <alignment horizontal="center" vertical="center" wrapText="1"/>
    </xf>
    <xf numFmtId="0" fontId="34" fillId="2" borderId="0" xfId="1" applyFont="1" applyFill="1" applyBorder="1"/>
    <xf numFmtId="49" fontId="33" fillId="0" borderId="1" xfId="1" applyNumberFormat="1" applyFont="1" applyFill="1" applyBorder="1" applyAlignment="1">
      <alignment horizontal="center" vertical="center" wrapText="1"/>
    </xf>
    <xf numFmtId="166" fontId="33" fillId="0" borderId="1" xfId="1" applyNumberFormat="1" applyFont="1" applyFill="1" applyBorder="1" applyAlignment="1">
      <alignment horizontal="center" vertical="center" wrapText="1"/>
    </xf>
    <xf numFmtId="0" fontId="32" fillId="0" borderId="0" xfId="1" applyFont="1" applyFill="1" applyBorder="1"/>
    <xf numFmtId="0" fontId="33" fillId="0" borderId="1" xfId="1" applyFont="1" applyFill="1" applyBorder="1" applyAlignment="1">
      <alignment horizontal="center" vertical="center" wrapText="1"/>
    </xf>
    <xf numFmtId="0" fontId="18" fillId="2" borderId="0" xfId="2" applyFont="1" applyFill="1" applyBorder="1"/>
    <xf numFmtId="0" fontId="24" fillId="0" borderId="1" xfId="1" applyFont="1" applyFill="1" applyBorder="1" applyAlignment="1">
      <alignment horizontal="left" vertical="center" wrapText="1"/>
    </xf>
    <xf numFmtId="0" fontId="11" fillId="0" borderId="0" xfId="1" applyFont="1" applyFill="1" applyBorder="1"/>
    <xf numFmtId="166" fontId="12" fillId="0" borderId="0" xfId="1" applyNumberFormat="1" applyFont="1" applyFill="1" applyBorder="1"/>
    <xf numFmtId="0" fontId="14" fillId="0" borderId="0" xfId="1" applyFont="1" applyFill="1" applyBorder="1"/>
    <xf numFmtId="0" fontId="28" fillId="0" borderId="0" xfId="1" applyFont="1" applyFill="1" applyBorder="1"/>
    <xf numFmtId="166" fontId="31" fillId="2" borderId="1" xfId="1" applyNumberFormat="1" applyFont="1" applyFill="1" applyBorder="1" applyAlignment="1">
      <alignment horizontal="center" vertical="center" wrapText="1"/>
    </xf>
    <xf numFmtId="49" fontId="14" fillId="0" borderId="1" xfId="2" applyNumberFormat="1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wrapText="1"/>
    </xf>
    <xf numFmtId="1" fontId="11" fillId="0" borderId="1" xfId="3" applyNumberFormat="1" applyFont="1" applyFill="1" applyBorder="1" applyAlignment="1">
      <alignment horizontal="center" vertical="center" wrapText="1"/>
    </xf>
    <xf numFmtId="1" fontId="15" fillId="0" borderId="1" xfId="3" applyNumberFormat="1" applyFont="1" applyFill="1" applyBorder="1" applyAlignment="1">
      <alignment horizontal="center" vertical="center" wrapText="1"/>
    </xf>
    <xf numFmtId="1" fontId="15" fillId="2" borderId="1" xfId="3" applyNumberFormat="1" applyFont="1" applyFill="1" applyBorder="1" applyAlignment="1">
      <alignment horizontal="center" vertical="center" wrapText="1"/>
    </xf>
    <xf numFmtId="1" fontId="2" fillId="0" borderId="0" xfId="3" applyNumberFormat="1" applyFont="1" applyFill="1" applyBorder="1" applyAlignment="1">
      <alignment horizontal="center" vertical="center" wrapText="1"/>
    </xf>
    <xf numFmtId="1" fontId="2" fillId="0" borderId="0" xfId="3" applyNumberFormat="1" applyFont="1" applyFill="1" applyBorder="1"/>
    <xf numFmtId="0" fontId="2" fillId="0" borderId="0" xfId="3" applyFont="1" applyFill="1" applyBorder="1"/>
    <xf numFmtId="0" fontId="11" fillId="0" borderId="1" xfId="3" applyFont="1" applyFill="1" applyBorder="1" applyAlignment="1">
      <alignment horizontal="center" vertical="center"/>
    </xf>
    <xf numFmtId="49" fontId="15" fillId="0" borderId="1" xfId="3" applyNumberFormat="1" applyFont="1" applyFill="1" applyBorder="1" applyAlignment="1">
      <alignment horizontal="center" vertical="center" wrapText="1"/>
    </xf>
    <xf numFmtId="166" fontId="4" fillId="0" borderId="0" xfId="3" applyNumberFormat="1" applyFont="1" applyFill="1" applyBorder="1"/>
    <xf numFmtId="164" fontId="4" fillId="0" borderId="0" xfId="3" applyNumberFormat="1" applyFont="1" applyFill="1" applyBorder="1"/>
    <xf numFmtId="0" fontId="4" fillId="0" borderId="0" xfId="3" applyFont="1" applyFill="1" applyBorder="1"/>
    <xf numFmtId="0" fontId="28" fillId="0" borderId="1" xfId="3" applyFont="1" applyFill="1" applyBorder="1" applyAlignment="1">
      <alignment horizontal="center" vertical="center"/>
    </xf>
    <xf numFmtId="166" fontId="29" fillId="0" borderId="0" xfId="3" applyNumberFormat="1" applyFont="1" applyFill="1" applyBorder="1"/>
    <xf numFmtId="164" fontId="29" fillId="0" borderId="0" xfId="3" applyNumberFormat="1" applyFont="1" applyFill="1" applyBorder="1"/>
    <xf numFmtId="0" fontId="29" fillId="0" borderId="0" xfId="3" applyFont="1" applyFill="1" applyBorder="1"/>
    <xf numFmtId="0" fontId="24" fillId="0" borderId="1" xfId="3" applyFont="1" applyFill="1" applyBorder="1" applyAlignment="1">
      <alignment horizontal="left" vertical="center" wrapText="1"/>
    </xf>
    <xf numFmtId="0" fontId="32" fillId="2" borderId="1" xfId="3" applyFont="1" applyFill="1" applyBorder="1" applyAlignment="1">
      <alignment horizontal="center" vertical="center"/>
    </xf>
    <xf numFmtId="0" fontId="33" fillId="2" borderId="1" xfId="3" applyFont="1" applyFill="1" applyBorder="1" applyAlignment="1">
      <alignment horizontal="center" vertical="center" wrapText="1"/>
    </xf>
    <xf numFmtId="166" fontId="33" fillId="2" borderId="1" xfId="3" applyNumberFormat="1" applyFont="1" applyFill="1" applyBorder="1" applyAlignment="1">
      <alignment horizontal="center" vertical="center" wrapText="1"/>
    </xf>
    <xf numFmtId="166" fontId="33" fillId="2" borderId="1" xfId="3" applyNumberFormat="1" applyFont="1" applyFill="1" applyBorder="1" applyAlignment="1">
      <alignment horizontal="center" vertical="center"/>
    </xf>
    <xf numFmtId="164" fontId="33" fillId="2" borderId="1" xfId="3" applyNumberFormat="1" applyFont="1" applyFill="1" applyBorder="1" applyAlignment="1">
      <alignment horizontal="center" vertical="center"/>
    </xf>
    <xf numFmtId="0" fontId="32" fillId="2" borderId="0" xfId="3" applyFont="1" applyFill="1" applyBorder="1"/>
    <xf numFmtId="166" fontId="32" fillId="2" borderId="0" xfId="3" applyNumberFormat="1" applyFont="1" applyFill="1" applyBorder="1"/>
    <xf numFmtId="166" fontId="33" fillId="0" borderId="1" xfId="3" applyNumberFormat="1" applyFont="1" applyFill="1" applyBorder="1" applyAlignment="1">
      <alignment horizontal="center" vertical="center"/>
    </xf>
    <xf numFmtId="164" fontId="33" fillId="0" borderId="1" xfId="3" applyNumberFormat="1" applyFont="1" applyFill="1" applyBorder="1" applyAlignment="1">
      <alignment horizontal="center" vertical="center"/>
    </xf>
    <xf numFmtId="0" fontId="31" fillId="0" borderId="1" xfId="3" applyFont="1" applyFill="1" applyBorder="1" applyAlignment="1">
      <alignment horizontal="left" vertical="center" wrapText="1"/>
    </xf>
    <xf numFmtId="166" fontId="20" fillId="0" borderId="0" xfId="3" applyNumberFormat="1" applyFont="1" applyFill="1" applyBorder="1" applyAlignment="1">
      <alignment horizontal="center" vertical="center"/>
    </xf>
    <xf numFmtId="164" fontId="20" fillId="0" borderId="0" xfId="3" applyNumberFormat="1" applyFont="1" applyFill="1" applyBorder="1" applyAlignment="1">
      <alignment horizontal="center" vertical="center"/>
    </xf>
    <xf numFmtId="165" fontId="6" fillId="0" borderId="0" xfId="3" applyNumberFormat="1" applyFont="1" applyFill="1" applyBorder="1" applyAlignment="1">
      <alignment horizontal="center" vertical="center"/>
    </xf>
    <xf numFmtId="164" fontId="6" fillId="0" borderId="0" xfId="3" applyNumberFormat="1" applyFont="1" applyFill="1" applyBorder="1" applyAlignment="1">
      <alignment horizontal="center" vertical="center"/>
    </xf>
    <xf numFmtId="165" fontId="4" fillId="0" borderId="1" xfId="2" applyNumberFormat="1" applyFont="1" applyFill="1" applyBorder="1" applyAlignment="1">
      <alignment horizontal="center" vertical="center" wrapText="1"/>
    </xf>
    <xf numFmtId="166" fontId="3" fillId="0" borderId="0" xfId="2" applyNumberFormat="1" applyFont="1" applyFill="1" applyBorder="1" applyAlignment="1">
      <alignment horizontal="center"/>
    </xf>
    <xf numFmtId="49" fontId="36" fillId="0" borderId="1" xfId="2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166" fontId="20" fillId="2" borderId="0" xfId="1" applyNumberFormat="1" applyFont="1" applyFill="1" applyBorder="1" applyAlignment="1">
      <alignment horizontal="center" vertical="center" wrapText="1"/>
    </xf>
    <xf numFmtId="0" fontId="25" fillId="0" borderId="1" xfId="1" applyFont="1" applyFill="1" applyBorder="1" applyAlignment="1">
      <alignment horizontal="left" vertical="center" wrapText="1"/>
    </xf>
    <xf numFmtId="166" fontId="37" fillId="0" borderId="1" xfId="3" applyNumberFormat="1" applyFont="1" applyFill="1" applyBorder="1" applyAlignment="1">
      <alignment horizontal="center" vertical="center" wrapText="1"/>
    </xf>
    <xf numFmtId="0" fontId="36" fillId="0" borderId="1" xfId="2" applyFont="1" applyFill="1" applyBorder="1" applyAlignment="1">
      <alignment horizontal="left" vertical="center" wrapText="1"/>
    </xf>
    <xf numFmtId="0" fontId="26" fillId="0" borderId="0" xfId="3" applyFont="1" applyFill="1" applyBorder="1"/>
    <xf numFmtId="14" fontId="28" fillId="0" borderId="1" xfId="3" applyNumberFormat="1" applyFont="1" applyFill="1" applyBorder="1" applyAlignment="1">
      <alignment horizontal="center" vertical="center"/>
    </xf>
    <xf numFmtId="0" fontId="6" fillId="0" borderId="0" xfId="3" applyFont="1" applyFill="1" applyBorder="1"/>
    <xf numFmtId="166" fontId="6" fillId="0" borderId="0" xfId="3" applyNumberFormat="1" applyFont="1" applyFill="1" applyBorder="1"/>
    <xf numFmtId="164" fontId="6" fillId="0" borderId="0" xfId="3" applyNumberFormat="1" applyFont="1" applyFill="1" applyBorder="1"/>
    <xf numFmtId="49" fontId="22" fillId="0" borderId="1" xfId="3" applyNumberFormat="1" applyFont="1" applyFill="1" applyBorder="1" applyAlignment="1">
      <alignment horizontal="center" vertical="center" shrinkToFit="1"/>
    </xf>
    <xf numFmtId="0" fontId="6" fillId="0" borderId="0" xfId="3" applyFont="1" applyFill="1" applyBorder="1" applyAlignment="1">
      <alignment horizontal="center"/>
    </xf>
    <xf numFmtId="166" fontId="31" fillId="0" borderId="1" xfId="1" applyNumberFormat="1" applyFont="1" applyFill="1" applyBorder="1" applyAlignment="1">
      <alignment horizontal="center" vertical="center" wrapText="1"/>
    </xf>
    <xf numFmtId="166" fontId="31" fillId="0" borderId="0" xfId="1" applyNumberFormat="1" applyFont="1" applyFill="1" applyBorder="1" applyAlignment="1">
      <alignment horizontal="center" vertical="center" wrapText="1"/>
    </xf>
    <xf numFmtId="166" fontId="2" fillId="0" borderId="0" xfId="2" applyNumberFormat="1" applyFont="1" applyFill="1" applyBorder="1"/>
    <xf numFmtId="49" fontId="24" fillId="0" borderId="1" xfId="1" applyNumberFormat="1" applyFont="1" applyFill="1" applyBorder="1" applyAlignment="1">
      <alignment horizontal="left" vertical="center" wrapText="1"/>
    </xf>
    <xf numFmtId="166" fontId="38" fillId="0" borderId="1" xfId="3" applyNumberFormat="1" applyFont="1" applyFill="1" applyBorder="1" applyAlignment="1">
      <alignment horizontal="center" vertical="center" wrapText="1"/>
    </xf>
    <xf numFmtId="166" fontId="38" fillId="2" borderId="1" xfId="3" applyNumberFormat="1" applyFont="1" applyFill="1" applyBorder="1" applyAlignment="1">
      <alignment horizontal="center" vertical="center" wrapText="1"/>
    </xf>
    <xf numFmtId="166" fontId="38" fillId="0" borderId="1" xfId="0" applyNumberFormat="1" applyFont="1" applyFill="1" applyBorder="1" applyAlignment="1">
      <alignment horizontal="center" vertical="center" wrapText="1"/>
    </xf>
    <xf numFmtId="166" fontId="38" fillId="0" borderId="1" xfId="3" applyNumberFormat="1" applyFont="1" applyFill="1" applyBorder="1" applyAlignment="1">
      <alignment horizontal="center" vertical="center"/>
    </xf>
    <xf numFmtId="164" fontId="38" fillId="0" borderId="1" xfId="3" applyNumberFormat="1" applyFont="1" applyFill="1" applyBorder="1" applyAlignment="1">
      <alignment horizontal="center" vertical="center"/>
    </xf>
    <xf numFmtId="166" fontId="39" fillId="0" borderId="1" xfId="3" applyNumberFormat="1" applyFont="1" applyFill="1" applyBorder="1" applyAlignment="1">
      <alignment horizontal="center" vertical="center" wrapText="1"/>
    </xf>
    <xf numFmtId="166" fontId="39" fillId="2" borderId="1" xfId="3" applyNumberFormat="1" applyFont="1" applyFill="1" applyBorder="1" applyAlignment="1">
      <alignment horizontal="center" vertical="center" wrapText="1"/>
    </xf>
    <xf numFmtId="166" fontId="39" fillId="0" borderId="1" xfId="0" applyNumberFormat="1" applyFont="1" applyFill="1" applyBorder="1" applyAlignment="1">
      <alignment horizontal="center" vertical="center" wrapText="1"/>
    </xf>
    <xf numFmtId="166" fontId="39" fillId="0" borderId="1" xfId="3" applyNumberFormat="1" applyFont="1" applyFill="1" applyBorder="1" applyAlignment="1">
      <alignment horizontal="center" vertical="center"/>
    </xf>
    <xf numFmtId="164" fontId="39" fillId="0" borderId="1" xfId="3" applyNumberFormat="1" applyFont="1" applyFill="1" applyBorder="1" applyAlignment="1">
      <alignment horizontal="center" vertical="center"/>
    </xf>
    <xf numFmtId="166" fontId="38" fillId="0" borderId="1" xfId="1" applyNumberFormat="1" applyFont="1" applyFill="1" applyBorder="1" applyAlignment="1">
      <alignment horizontal="center" vertical="center" wrapText="1"/>
    </xf>
    <xf numFmtId="166" fontId="39" fillId="0" borderId="1" xfId="1" applyNumberFormat="1" applyFont="1" applyFill="1" applyBorder="1" applyAlignment="1">
      <alignment horizontal="center" vertical="center" wrapText="1"/>
    </xf>
    <xf numFmtId="49" fontId="37" fillId="0" borderId="1" xfId="1" applyNumberFormat="1" applyFont="1" applyFill="1" applyBorder="1" applyAlignment="1">
      <alignment horizontal="center" vertical="center" wrapText="1"/>
    </xf>
    <xf numFmtId="49" fontId="37" fillId="2" borderId="1" xfId="1" applyNumberFormat="1" applyFont="1" applyFill="1" applyBorder="1" applyAlignment="1">
      <alignment horizontal="center" vertical="center" wrapText="1"/>
    </xf>
    <xf numFmtId="166" fontId="39" fillId="2" borderId="1" xfId="1" applyNumberFormat="1" applyFont="1" applyFill="1" applyBorder="1" applyAlignment="1">
      <alignment horizontal="center" vertical="center" wrapText="1"/>
    </xf>
    <xf numFmtId="166" fontId="38" fillId="2" borderId="1" xfId="1" applyNumberFormat="1" applyFont="1" applyFill="1" applyBorder="1" applyAlignment="1">
      <alignment horizontal="center" vertical="center" wrapText="1"/>
    </xf>
    <xf numFmtId="168" fontId="38" fillId="0" borderId="1" xfId="1" applyNumberFormat="1" applyFont="1" applyFill="1" applyBorder="1" applyAlignment="1">
      <alignment horizontal="center" vertical="center" wrapText="1"/>
    </xf>
    <xf numFmtId="167" fontId="38" fillId="2" borderId="1" xfId="1" applyNumberFormat="1" applyFont="1" applyFill="1" applyBorder="1" applyAlignment="1">
      <alignment horizontal="center" vertical="center" wrapText="1"/>
    </xf>
    <xf numFmtId="167" fontId="38" fillId="0" borderId="1" xfId="1" applyNumberFormat="1" applyFont="1" applyFill="1" applyBorder="1" applyAlignment="1">
      <alignment horizontal="center" vertical="center" wrapText="1"/>
    </xf>
    <xf numFmtId="49" fontId="24" fillId="0" borderId="1" xfId="3" applyNumberFormat="1" applyFont="1" applyFill="1" applyBorder="1" applyAlignment="1">
      <alignment horizontal="left" vertical="center" wrapText="1"/>
    </xf>
    <xf numFmtId="49" fontId="25" fillId="0" borderId="1" xfId="3" applyNumberFormat="1" applyFont="1" applyFill="1" applyBorder="1" applyAlignment="1">
      <alignment horizontal="left" vertical="center" wrapText="1"/>
    </xf>
    <xf numFmtId="49" fontId="40" fillId="0" borderId="1" xfId="2" applyNumberFormat="1" applyFont="1" applyFill="1" applyBorder="1" applyAlignment="1">
      <alignment horizontal="left" vertical="center" wrapText="1"/>
    </xf>
    <xf numFmtId="0" fontId="40" fillId="0" borderId="1" xfId="2" applyNumberFormat="1" applyFont="1" applyFill="1" applyBorder="1" applyAlignment="1">
      <alignment horizontal="left" vertical="center" wrapText="1"/>
    </xf>
    <xf numFmtId="0" fontId="24" fillId="0" borderId="1" xfId="2" applyFont="1" applyFill="1" applyBorder="1" applyAlignment="1">
      <alignment vertical="top" wrapText="1"/>
    </xf>
    <xf numFmtId="166" fontId="18" fillId="0" borderId="0" xfId="2" applyNumberFormat="1" applyFont="1" applyFill="1"/>
    <xf numFmtId="166" fontId="33" fillId="0" borderId="0" xfId="1" applyNumberFormat="1" applyFont="1" applyFill="1" applyBorder="1" applyAlignment="1">
      <alignment horizontal="center" vertical="center" wrapText="1"/>
    </xf>
    <xf numFmtId="166" fontId="33" fillId="2" borderId="0" xfId="1" applyNumberFormat="1" applyFont="1" applyFill="1" applyBorder="1" applyAlignment="1">
      <alignment horizontal="center" vertical="center" wrapText="1"/>
    </xf>
    <xf numFmtId="0" fontId="30" fillId="0" borderId="0" xfId="3" applyFont="1" applyFill="1" applyBorder="1"/>
    <xf numFmtId="166" fontId="31" fillId="2" borderId="0" xfId="1" applyNumberFormat="1" applyFont="1" applyFill="1" applyBorder="1" applyAlignment="1">
      <alignment horizontal="center" vertical="center" wrapText="1"/>
    </xf>
    <xf numFmtId="0" fontId="30" fillId="0" borderId="0" xfId="0" applyFont="1" applyBorder="1"/>
    <xf numFmtId="49" fontId="22" fillId="0" borderId="1" xfId="3" applyNumberFormat="1" applyFont="1" applyFill="1" applyBorder="1" applyAlignment="1">
      <alignment horizontal="center" vertical="center" wrapText="1"/>
    </xf>
    <xf numFmtId="49" fontId="11" fillId="0" borderId="1" xfId="3" applyNumberFormat="1" applyFont="1" applyFill="1" applyBorder="1" applyAlignment="1">
      <alignment horizontal="center" vertical="center" wrapText="1" shrinkToFit="1"/>
    </xf>
    <xf numFmtId="0" fontId="4" fillId="0" borderId="0" xfId="2" applyFont="1" applyFill="1" applyBorder="1" applyAlignment="1">
      <alignment horizontal="center" vertical="center" wrapText="1"/>
    </xf>
    <xf numFmtId="0" fontId="38" fillId="0" borderId="1" xfId="3" applyNumberFormat="1" applyFont="1" applyFill="1" applyBorder="1" applyAlignment="1">
      <alignment horizontal="center" vertical="center"/>
    </xf>
    <xf numFmtId="166" fontId="26" fillId="0" borderId="0" xfId="3" applyNumberFormat="1" applyFont="1" applyFill="1" applyBorder="1"/>
    <xf numFmtId="0" fontId="41" fillId="2" borderId="1" xfId="1" applyFont="1" applyFill="1" applyBorder="1" applyAlignment="1">
      <alignment horizontal="center" vertical="center"/>
    </xf>
    <xf numFmtId="0" fontId="42" fillId="2" borderId="1" xfId="1" applyFont="1" applyFill="1" applyBorder="1" applyAlignment="1">
      <alignment horizontal="center" vertical="center" wrapText="1"/>
    </xf>
    <xf numFmtId="165" fontId="42" fillId="2" borderId="1" xfId="1" applyNumberFormat="1" applyFont="1" applyFill="1" applyBorder="1" applyAlignment="1">
      <alignment horizontal="center" vertical="center" wrapText="1"/>
    </xf>
    <xf numFmtId="166" fontId="42" fillId="2" borderId="1" xfId="1" applyNumberFormat="1" applyFont="1" applyFill="1" applyBorder="1" applyAlignment="1">
      <alignment horizontal="center" vertical="center" wrapText="1"/>
    </xf>
    <xf numFmtId="166" fontId="42" fillId="2" borderId="1" xfId="3" applyNumberFormat="1" applyFont="1" applyFill="1" applyBorder="1" applyAlignment="1">
      <alignment horizontal="center" vertical="center"/>
    </xf>
    <xf numFmtId="164" fontId="42" fillId="2" borderId="1" xfId="3" applyNumberFormat="1" applyFont="1" applyFill="1" applyBorder="1" applyAlignment="1">
      <alignment horizontal="center" vertical="center"/>
    </xf>
    <xf numFmtId="166" fontId="41" fillId="2" borderId="0" xfId="1" applyNumberFormat="1" applyFont="1" applyFill="1" applyBorder="1"/>
    <xf numFmtId="0" fontId="41" fillId="2" borderId="0" xfId="1" applyFont="1" applyFill="1" applyBorder="1"/>
    <xf numFmtId="49" fontId="42" fillId="2" borderId="1" xfId="1" applyNumberFormat="1" applyFont="1" applyFill="1" applyBorder="1" applyAlignment="1">
      <alignment horizontal="center" vertical="center" wrapText="1"/>
    </xf>
    <xf numFmtId="0" fontId="41" fillId="2" borderId="1" xfId="1" applyFont="1" applyFill="1" applyBorder="1" applyAlignment="1">
      <alignment vertical="center"/>
    </xf>
    <xf numFmtId="0" fontId="20" fillId="0" borderId="1" xfId="1" applyFont="1" applyFill="1" applyBorder="1" applyAlignment="1">
      <alignment horizontal="center" vertical="center" wrapText="1"/>
    </xf>
    <xf numFmtId="49" fontId="32" fillId="0" borderId="1" xfId="1" applyNumberFormat="1" applyFont="1" applyFill="1" applyBorder="1" applyAlignment="1">
      <alignment horizontal="center" vertical="center"/>
    </xf>
    <xf numFmtId="49" fontId="43" fillId="0" borderId="1" xfId="1" applyNumberFormat="1" applyFont="1" applyFill="1" applyBorder="1" applyAlignment="1">
      <alignment horizontal="center" vertical="center"/>
    </xf>
    <xf numFmtId="49" fontId="39" fillId="0" borderId="1" xfId="1" applyNumberFormat="1" applyFont="1" applyFill="1" applyBorder="1" applyAlignment="1">
      <alignment horizontal="center" vertical="center" wrapText="1"/>
    </xf>
    <xf numFmtId="0" fontId="43" fillId="0" borderId="0" xfId="1" applyFont="1" applyFill="1" applyBorder="1"/>
    <xf numFmtId="49" fontId="40" fillId="0" borderId="1" xfId="3" applyNumberFormat="1" applyFont="1" applyFill="1" applyBorder="1" applyAlignment="1">
      <alignment horizontal="left" vertical="center" wrapText="1"/>
    </xf>
    <xf numFmtId="0" fontId="25" fillId="0" borderId="1" xfId="3" applyFont="1" applyFill="1" applyBorder="1" applyAlignment="1">
      <alignment horizontal="left" vertical="center" wrapText="1"/>
    </xf>
    <xf numFmtId="0" fontId="21" fillId="0" borderId="1" xfId="1" applyFont="1" applyFill="1" applyBorder="1" applyAlignment="1">
      <alignment horizontal="center" vertical="center" wrapText="1"/>
    </xf>
    <xf numFmtId="49" fontId="25" fillId="0" borderId="1" xfId="1" applyNumberFormat="1" applyFont="1" applyFill="1" applyBorder="1" applyAlignment="1">
      <alignment horizontal="center" vertical="center" wrapText="1"/>
    </xf>
    <xf numFmtId="49" fontId="40" fillId="0" borderId="1" xfId="2" applyNumberFormat="1" applyFont="1" applyFill="1" applyBorder="1" applyAlignment="1">
      <alignment horizontal="center" vertical="center" wrapText="1"/>
    </xf>
    <xf numFmtId="0" fontId="24" fillId="0" borderId="1" xfId="3" applyNumberFormat="1" applyFont="1" applyFill="1" applyBorder="1" applyAlignment="1">
      <alignment horizontal="justify" vertical="center" wrapText="1" shrinkToFit="1"/>
    </xf>
    <xf numFmtId="0" fontId="36" fillId="0" borderId="1" xfId="3" applyNumberFormat="1" applyFont="1" applyFill="1" applyBorder="1" applyAlignment="1">
      <alignment horizontal="justify" vertical="center" wrapText="1" shrinkToFit="1"/>
    </xf>
    <xf numFmtId="0" fontId="40" fillId="0" borderId="1" xfId="3" applyNumberFormat="1" applyFont="1" applyFill="1" applyBorder="1" applyAlignment="1">
      <alignment horizontal="left" vertical="center" wrapText="1" shrinkToFit="1"/>
    </xf>
    <xf numFmtId="0" fontId="24" fillId="0" borderId="1" xfId="2" applyFont="1" applyFill="1" applyBorder="1" applyAlignment="1">
      <alignment vertical="center" wrapText="1"/>
    </xf>
    <xf numFmtId="49" fontId="30" fillId="0" borderId="1" xfId="3" applyNumberFormat="1" applyFont="1" applyFill="1" applyBorder="1" applyAlignment="1">
      <alignment horizontal="center" vertical="center" wrapText="1"/>
    </xf>
    <xf numFmtId="49" fontId="16" fillId="0" borderId="0" xfId="2" applyNumberFormat="1" applyFont="1" applyFill="1" applyBorder="1" applyAlignment="1">
      <alignment horizontal="center" vertical="center" wrapText="1"/>
    </xf>
    <xf numFmtId="49" fontId="23" fillId="0" borderId="4" xfId="3" applyNumberFormat="1" applyFont="1" applyFill="1" applyBorder="1" applyAlignment="1">
      <alignment horizontal="center" vertical="center" wrapText="1"/>
    </xf>
    <xf numFmtId="49" fontId="23" fillId="0" borderId="5" xfId="3" applyNumberFormat="1" applyFont="1" applyFill="1" applyBorder="1" applyAlignment="1">
      <alignment horizontal="center" vertical="center" wrapText="1"/>
    </xf>
    <xf numFmtId="49" fontId="23" fillId="0" borderId="6" xfId="3" applyNumberFormat="1" applyFont="1" applyFill="1" applyBorder="1" applyAlignment="1">
      <alignment horizontal="center" vertical="center" wrapText="1"/>
    </xf>
    <xf numFmtId="49" fontId="20" fillId="0" borderId="4" xfId="3" applyNumberFormat="1" applyFont="1" applyFill="1" applyBorder="1" applyAlignment="1">
      <alignment horizontal="center" vertical="center" wrapText="1"/>
    </xf>
    <xf numFmtId="49" fontId="20" fillId="0" borderId="5" xfId="3" applyNumberFormat="1" applyFont="1" applyFill="1" applyBorder="1" applyAlignment="1">
      <alignment horizontal="center" vertical="center" wrapText="1"/>
    </xf>
    <xf numFmtId="49" fontId="20" fillId="0" borderId="6" xfId="3" applyNumberFormat="1" applyFont="1" applyFill="1" applyBorder="1" applyAlignment="1">
      <alignment horizontal="center" vertical="center" wrapText="1"/>
    </xf>
    <xf numFmtId="0" fontId="20" fillId="0" borderId="4" xfId="1" applyFont="1" applyFill="1" applyBorder="1" applyAlignment="1">
      <alignment horizontal="center" vertical="center" wrapText="1"/>
    </xf>
    <xf numFmtId="0" fontId="20" fillId="0" borderId="5" xfId="1" applyFont="1" applyFill="1" applyBorder="1" applyAlignment="1">
      <alignment horizontal="center" vertical="center" wrapText="1"/>
    </xf>
    <xf numFmtId="0" fontId="20" fillId="0" borderId="6" xfId="1" applyFont="1" applyFill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49" fontId="7" fillId="0" borderId="1" xfId="3" applyNumberFormat="1" applyFont="1" applyFill="1" applyBorder="1" applyAlignment="1">
      <alignment horizontal="center" vertical="center" wrapText="1"/>
    </xf>
    <xf numFmtId="49" fontId="30" fillId="0" borderId="1" xfId="3" applyNumberFormat="1" applyFont="1" applyFill="1" applyBorder="1" applyAlignment="1" applyProtection="1">
      <alignment horizontal="center" vertical="center" wrapText="1"/>
      <protection locked="0"/>
    </xf>
    <xf numFmtId="49" fontId="40" fillId="0" borderId="1" xfId="2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49" fontId="22" fillId="0" borderId="1" xfId="3" applyNumberFormat="1" applyFont="1" applyFill="1" applyBorder="1" applyAlignment="1">
      <alignment horizontal="center" vertical="center" wrapText="1"/>
    </xf>
    <xf numFmtId="49" fontId="30" fillId="0" borderId="1" xfId="3" applyNumberFormat="1" applyFont="1" applyFill="1" applyBorder="1" applyAlignment="1">
      <alignment horizontal="center" vertical="center" textRotation="90" wrapText="1"/>
    </xf>
    <xf numFmtId="49" fontId="30" fillId="2" borderId="1" xfId="3" applyNumberFormat="1" applyFont="1" applyFill="1" applyBorder="1" applyAlignment="1">
      <alignment horizontal="center" vertical="center" wrapText="1"/>
    </xf>
    <xf numFmtId="0" fontId="17" fillId="0" borderId="0" xfId="2" applyFont="1" applyFill="1" applyAlignment="1">
      <alignment horizontal="center" wrapText="1"/>
    </xf>
    <xf numFmtId="0" fontId="17" fillId="0" borderId="0" xfId="2" applyFont="1" applyFill="1" applyAlignment="1">
      <alignment horizontal="center"/>
    </xf>
  </cellXfs>
  <cellStyles count="4">
    <cellStyle name="Звичайний 2" xfId="3"/>
    <cellStyle name="Обычный" xfId="0" builtinId="0"/>
    <cellStyle name="Обычный_Ан_вик_бюдж_поміс" xfId="1"/>
    <cellStyle name="Обычный_Ан_вик_бюдж_поміс_вл_закр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38"/>
  <sheetViews>
    <sheetView showGridLines="0" tabSelected="1" view="pageBreakPreview" zoomScale="60" zoomScaleNormal="75" workbookViewId="0">
      <pane xSplit="3" ySplit="4" topLeftCell="D98" activePane="bottomRight" state="frozen"/>
      <selection pane="topRight" activeCell="D1" sqref="D1"/>
      <selection pane="bottomLeft" activeCell="A5" sqref="A5"/>
      <selection pane="bottomRight" activeCell="B112" sqref="B112"/>
    </sheetView>
  </sheetViews>
  <sheetFormatPr defaultRowHeight="12.75" x14ac:dyDescent="0.2"/>
  <cols>
    <col min="1" max="1" width="12.28515625" style="20" customWidth="1"/>
    <col min="2" max="2" width="102" style="20" customWidth="1"/>
    <col min="3" max="3" width="16.140625" style="20" customWidth="1"/>
    <col min="4" max="4" width="23.5703125" style="20" customWidth="1"/>
    <col min="5" max="5" width="23.85546875" style="20" customWidth="1"/>
    <col min="6" max="6" width="24.5703125" style="33" customWidth="1"/>
    <col min="7" max="14" width="21.28515625" style="3" hidden="1" customWidth="1"/>
    <col min="15" max="15" width="25.28515625" style="3" customWidth="1"/>
    <col min="16" max="16" width="26.28515625" style="1" customWidth="1"/>
    <col min="17" max="17" width="10.140625" style="1" bestFit="1" customWidth="1"/>
    <col min="18" max="18" width="23.85546875" style="1" hidden="1" customWidth="1"/>
    <col min="19" max="19" width="25" style="1" hidden="1" customWidth="1"/>
    <col min="20" max="20" width="10.42578125" style="1" hidden="1" customWidth="1"/>
    <col min="21" max="21" width="16.140625" style="1" customWidth="1"/>
    <col min="22" max="22" width="23.140625" style="33" customWidth="1"/>
    <col min="23" max="23" width="21.85546875" style="1" customWidth="1"/>
    <col min="24" max="24" width="10.42578125" style="3" bestFit="1" customWidth="1"/>
    <col min="25" max="25" width="24.140625" style="3" hidden="1" customWidth="1"/>
    <col min="26" max="26" width="22.5703125" style="3" hidden="1" customWidth="1"/>
    <col min="27" max="27" width="15.85546875" style="3" hidden="1" customWidth="1"/>
    <col min="28" max="28" width="9.140625" style="3"/>
    <col min="29" max="29" width="24.140625" style="3" bestFit="1" customWidth="1"/>
    <col min="30" max="30" width="9.140625" style="3"/>
    <col min="31" max="31" width="15.140625" style="3" bestFit="1" customWidth="1"/>
    <col min="32" max="16384" width="9.140625" style="3"/>
  </cols>
  <sheetData>
    <row r="1" spans="1:39" ht="30" customHeight="1" x14ac:dyDescent="0.2">
      <c r="A1" s="177" t="s">
        <v>210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</row>
    <row r="2" spans="1:39" ht="18.75" x14ac:dyDescent="0.3">
      <c r="A2" s="23" t="s">
        <v>48</v>
      </c>
      <c r="B2" s="18"/>
      <c r="C2" s="18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V2" s="99"/>
      <c r="W2" s="5" t="s">
        <v>13</v>
      </c>
      <c r="X2" s="5"/>
    </row>
    <row r="3" spans="1:39" s="67" customFormat="1" ht="15" customHeight="1" x14ac:dyDescent="0.25">
      <c r="A3" s="189" t="s">
        <v>0</v>
      </c>
      <c r="B3" s="190" t="s">
        <v>1</v>
      </c>
      <c r="C3" s="190" t="s">
        <v>2</v>
      </c>
      <c r="D3" s="176" t="s">
        <v>133</v>
      </c>
      <c r="E3" s="176" t="s">
        <v>134</v>
      </c>
      <c r="F3" s="195" t="s">
        <v>201</v>
      </c>
      <c r="G3" s="176" t="s">
        <v>63</v>
      </c>
      <c r="H3" s="176" t="s">
        <v>137</v>
      </c>
      <c r="I3" s="176" t="s">
        <v>159</v>
      </c>
      <c r="J3" s="176" t="s">
        <v>175</v>
      </c>
      <c r="K3" s="176" t="s">
        <v>176</v>
      </c>
      <c r="L3" s="176" t="s">
        <v>184</v>
      </c>
      <c r="M3" s="176" t="s">
        <v>189</v>
      </c>
      <c r="N3" s="176" t="s">
        <v>202</v>
      </c>
      <c r="O3" s="176" t="s">
        <v>204</v>
      </c>
      <c r="P3" s="176" t="s">
        <v>205</v>
      </c>
      <c r="Q3" s="176" t="s">
        <v>3</v>
      </c>
      <c r="R3" s="176" t="s">
        <v>206</v>
      </c>
      <c r="S3" s="176" t="s">
        <v>207</v>
      </c>
      <c r="T3" s="176" t="s">
        <v>3</v>
      </c>
      <c r="U3" s="194" t="s">
        <v>203</v>
      </c>
      <c r="V3" s="195" t="s">
        <v>208</v>
      </c>
      <c r="W3" s="176" t="s">
        <v>209</v>
      </c>
      <c r="X3" s="176" t="s">
        <v>3</v>
      </c>
    </row>
    <row r="4" spans="1:39" s="67" customFormat="1" ht="79.5" customHeight="1" x14ac:dyDescent="0.25">
      <c r="A4" s="189"/>
      <c r="B4" s="190"/>
      <c r="C4" s="190"/>
      <c r="D4" s="176"/>
      <c r="E4" s="176"/>
      <c r="F4" s="195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94"/>
      <c r="V4" s="195"/>
      <c r="W4" s="176"/>
      <c r="X4" s="176"/>
    </row>
    <row r="5" spans="1:39" s="72" customFormat="1" ht="20.25" x14ac:dyDescent="0.2">
      <c r="A5" s="68" t="s">
        <v>4</v>
      </c>
      <c r="B5" s="69" t="s">
        <v>5</v>
      </c>
      <c r="C5" s="69">
        <f>B5+1</f>
        <v>3</v>
      </c>
      <c r="D5" s="69">
        <f>C5+1</f>
        <v>4</v>
      </c>
      <c r="E5" s="69">
        <f t="shared" ref="E5" si="0">D5+1</f>
        <v>5</v>
      </c>
      <c r="F5" s="70">
        <f>E5+1</f>
        <v>6</v>
      </c>
      <c r="G5" s="69">
        <f t="shared" ref="G5" si="1">F5+1</f>
        <v>7</v>
      </c>
      <c r="H5" s="69">
        <f t="shared" ref="H5" si="2">G5+1</f>
        <v>8</v>
      </c>
      <c r="I5" s="69">
        <f t="shared" ref="I5" si="3">H5+1</f>
        <v>9</v>
      </c>
      <c r="J5" s="69">
        <f t="shared" ref="J5" si="4">I5+1</f>
        <v>10</v>
      </c>
      <c r="K5" s="69">
        <f t="shared" ref="K5" si="5">J5+1</f>
        <v>11</v>
      </c>
      <c r="L5" s="69">
        <f t="shared" ref="L5" si="6">K5+1</f>
        <v>12</v>
      </c>
      <c r="M5" s="69">
        <f t="shared" ref="M5" si="7">L5+1</f>
        <v>13</v>
      </c>
      <c r="N5" s="69">
        <f t="shared" ref="N5" si="8">M5+1</f>
        <v>14</v>
      </c>
      <c r="O5" s="69">
        <v>7</v>
      </c>
      <c r="P5" s="69">
        <f t="shared" ref="P5:X5" si="9">O5+1</f>
        <v>8</v>
      </c>
      <c r="Q5" s="69">
        <f t="shared" ref="Q5" si="10">P5+1</f>
        <v>9</v>
      </c>
      <c r="R5" s="69">
        <f t="shared" ref="R5" si="11">Q5+1</f>
        <v>10</v>
      </c>
      <c r="S5" s="69">
        <f t="shared" ref="S5" si="12">R5+1</f>
        <v>11</v>
      </c>
      <c r="T5" s="69">
        <f t="shared" ref="T5" si="13">S5+1</f>
        <v>12</v>
      </c>
      <c r="U5" s="69">
        <v>10</v>
      </c>
      <c r="V5" s="70">
        <f t="shared" si="9"/>
        <v>11</v>
      </c>
      <c r="W5" s="69">
        <f t="shared" si="9"/>
        <v>12</v>
      </c>
      <c r="X5" s="69">
        <f t="shared" si="9"/>
        <v>13</v>
      </c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</row>
    <row r="6" spans="1:39" s="73" customFormat="1" ht="26.25" customHeight="1" x14ac:dyDescent="0.2">
      <c r="A6" s="178" t="s">
        <v>6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80"/>
    </row>
    <row r="7" spans="1:39" s="78" customFormat="1" ht="34.5" customHeight="1" x14ac:dyDescent="0.25">
      <c r="A7" s="74">
        <v>1</v>
      </c>
      <c r="B7" s="83" t="s">
        <v>65</v>
      </c>
      <c r="C7" s="75" t="s">
        <v>14</v>
      </c>
      <c r="D7" s="117">
        <v>3259847.3</v>
      </c>
      <c r="E7" s="117">
        <v>3967553.3</v>
      </c>
      <c r="F7" s="118">
        <f>SUM(G7:N7)</f>
        <v>2272787.6529999999</v>
      </c>
      <c r="G7" s="117">
        <v>228775.38699999999</v>
      </c>
      <c r="H7" s="117">
        <v>295552.81099999999</v>
      </c>
      <c r="I7" s="117">
        <v>261013.09899999999</v>
      </c>
      <c r="J7" s="117">
        <v>280386.42499999999</v>
      </c>
      <c r="K7" s="117">
        <v>305385.00400000002</v>
      </c>
      <c r="L7" s="117">
        <v>318679.49</v>
      </c>
      <c r="M7" s="117">
        <v>291154.57400000002</v>
      </c>
      <c r="N7" s="117">
        <v>291840.86300000001</v>
      </c>
      <c r="O7" s="119">
        <v>1458739.7120000001</v>
      </c>
      <c r="P7" s="120">
        <f t="shared" ref="P7:P45" si="14">F7-O7</f>
        <v>814047.94099999988</v>
      </c>
      <c r="Q7" s="121">
        <f>F7/O7*100</f>
        <v>155.80487967136386</v>
      </c>
      <c r="R7" s="120">
        <f>E7/12*8</f>
        <v>2645035.5333333332</v>
      </c>
      <c r="S7" s="120">
        <f t="shared" ref="S7:S45" si="15">F7-R7</f>
        <v>-372247.88033333328</v>
      </c>
      <c r="T7" s="121">
        <f t="shared" ref="T7:T44" si="16">F7/R7*100</f>
        <v>85.926545196002792</v>
      </c>
      <c r="U7" s="121">
        <f>F7/E7*100</f>
        <v>57.284363464001856</v>
      </c>
      <c r="V7" s="118">
        <v>1963766.7549999999</v>
      </c>
      <c r="W7" s="120">
        <f t="shared" ref="W7:W45" si="17">F7-V7</f>
        <v>309020.89800000004</v>
      </c>
      <c r="X7" s="121">
        <f>F7/V7*100</f>
        <v>115.73613043469615</v>
      </c>
      <c r="Y7" s="76"/>
      <c r="Z7" s="76"/>
      <c r="AA7" s="76">
        <f>Y7-Z7</f>
        <v>0</v>
      </c>
      <c r="AB7" s="77" t="e">
        <f>Y7/Z7*100</f>
        <v>#DIV/0!</v>
      </c>
    </row>
    <row r="8" spans="1:39" s="78" customFormat="1" ht="39" x14ac:dyDescent="0.25">
      <c r="A8" s="74">
        <f>A7+1</f>
        <v>2</v>
      </c>
      <c r="B8" s="83" t="s">
        <v>36</v>
      </c>
      <c r="C8" s="75" t="s">
        <v>16</v>
      </c>
      <c r="D8" s="117">
        <v>760</v>
      </c>
      <c r="E8" s="117">
        <v>1160</v>
      </c>
      <c r="F8" s="118">
        <f t="shared" ref="F8:F76" si="18">SUM(G8:N8)</f>
        <v>2067.3200000000002</v>
      </c>
      <c r="G8" s="117">
        <v>0</v>
      </c>
      <c r="H8" s="117">
        <v>74.150000000000006</v>
      </c>
      <c r="I8" s="117">
        <v>881.80200000000002</v>
      </c>
      <c r="J8" s="117">
        <v>46.475000000000001</v>
      </c>
      <c r="K8" s="117">
        <v>90.715000000000003</v>
      </c>
      <c r="L8" s="117">
        <v>-0.39500000000000002</v>
      </c>
      <c r="M8" s="117">
        <v>4.32</v>
      </c>
      <c r="N8" s="117">
        <v>970.25300000000004</v>
      </c>
      <c r="O8" s="119">
        <v>1160</v>
      </c>
      <c r="P8" s="120">
        <f t="shared" si="14"/>
        <v>907.32000000000016</v>
      </c>
      <c r="Q8" s="121">
        <f>F8/O8*100</f>
        <v>178.21724137931037</v>
      </c>
      <c r="R8" s="120">
        <f t="shared" ref="R8:R49" si="19">E8/12*8</f>
        <v>773.33333333333337</v>
      </c>
      <c r="S8" s="120">
        <f t="shared" si="15"/>
        <v>1293.9866666666667</v>
      </c>
      <c r="T8" s="121">
        <f t="shared" si="16"/>
        <v>267.32586206896553</v>
      </c>
      <c r="U8" s="121">
        <f t="shared" ref="U8:U76" si="20">F8/E8*100</f>
        <v>178.21724137931037</v>
      </c>
      <c r="V8" s="118">
        <v>626.61399999999992</v>
      </c>
      <c r="W8" s="120">
        <f t="shared" si="17"/>
        <v>1440.7060000000001</v>
      </c>
      <c r="X8" s="121">
        <f>F8/V8*100</f>
        <v>329.91921661501345</v>
      </c>
      <c r="Y8" s="76"/>
      <c r="Z8" s="76"/>
      <c r="AA8" s="76">
        <f>V7/0.5</f>
        <v>3927533.51</v>
      </c>
      <c r="AB8" s="77">
        <f>Z8/AA8*100</f>
        <v>0</v>
      </c>
    </row>
    <row r="9" spans="1:39" s="78" customFormat="1" ht="23.25" x14ac:dyDescent="0.25">
      <c r="A9" s="74">
        <v>3</v>
      </c>
      <c r="B9" s="83" t="s">
        <v>100</v>
      </c>
      <c r="C9" s="75" t="s">
        <v>101</v>
      </c>
      <c r="D9" s="117">
        <f>SUM(D10:D13)</f>
        <v>639</v>
      </c>
      <c r="E9" s="117">
        <f>SUM(E10:E13)</f>
        <v>639</v>
      </c>
      <c r="F9" s="118">
        <f t="shared" si="18"/>
        <v>304.55500000000006</v>
      </c>
      <c r="G9" s="117">
        <f t="shared" ref="G9:O9" si="21">SUM(G10:G13)</f>
        <v>1.4119999999999999</v>
      </c>
      <c r="H9" s="117">
        <f t="shared" ref="H9:N9" si="22">SUM(H10:H13)</f>
        <v>166.416</v>
      </c>
      <c r="I9" s="117">
        <f t="shared" si="22"/>
        <v>10.050000000000001</v>
      </c>
      <c r="J9" s="117">
        <f t="shared" si="22"/>
        <v>1.119</v>
      </c>
      <c r="K9" s="117">
        <f t="shared" si="22"/>
        <v>40.365000000000002</v>
      </c>
      <c r="L9" s="117">
        <f t="shared" si="22"/>
        <v>0.12</v>
      </c>
      <c r="M9" s="117">
        <f t="shared" ref="M9" si="23">SUM(M10:M13)</f>
        <v>1.6319999999999999</v>
      </c>
      <c r="N9" s="117">
        <f t="shared" si="22"/>
        <v>83.441000000000003</v>
      </c>
      <c r="O9" s="117">
        <f t="shared" si="21"/>
        <v>298.83</v>
      </c>
      <c r="P9" s="120">
        <f t="shared" si="14"/>
        <v>5.7250000000000796</v>
      </c>
      <c r="Q9" s="121">
        <f>F9/O9*100</f>
        <v>101.91580497272699</v>
      </c>
      <c r="R9" s="120">
        <f t="shared" si="19"/>
        <v>426</v>
      </c>
      <c r="S9" s="120">
        <f t="shared" si="15"/>
        <v>-121.44499999999994</v>
      </c>
      <c r="T9" s="121">
        <f t="shared" si="16"/>
        <v>71.491784037558702</v>
      </c>
      <c r="U9" s="121">
        <f t="shared" si="20"/>
        <v>47.661189358372468</v>
      </c>
      <c r="V9" s="118">
        <f>SUM(V10:V13)</f>
        <v>441.19400000000002</v>
      </c>
      <c r="W9" s="120">
        <f t="shared" si="17"/>
        <v>-136.63899999999995</v>
      </c>
      <c r="X9" s="121">
        <f>F9/V9*100</f>
        <v>69.029723885637623</v>
      </c>
      <c r="Y9" s="76"/>
      <c r="Z9" s="76"/>
      <c r="AA9" s="76"/>
      <c r="AB9" s="77"/>
    </row>
    <row r="10" spans="1:39" s="78" customFormat="1" ht="39" x14ac:dyDescent="0.25">
      <c r="A10" s="79" t="s">
        <v>102</v>
      </c>
      <c r="B10" s="167" t="s">
        <v>126</v>
      </c>
      <c r="C10" s="171" t="s">
        <v>127</v>
      </c>
      <c r="D10" s="117">
        <v>18</v>
      </c>
      <c r="E10" s="117">
        <v>18</v>
      </c>
      <c r="F10" s="123">
        <f t="shared" si="18"/>
        <v>21.887999999999998</v>
      </c>
      <c r="G10" s="117">
        <v>0.79500000000000004</v>
      </c>
      <c r="H10" s="117">
        <v>3.4129999999999998</v>
      </c>
      <c r="I10" s="117">
        <v>0</v>
      </c>
      <c r="J10" s="117">
        <v>0</v>
      </c>
      <c r="K10" s="117">
        <v>8.84</v>
      </c>
      <c r="L10" s="117">
        <v>0</v>
      </c>
      <c r="M10" s="117">
        <v>0</v>
      </c>
      <c r="N10" s="117">
        <v>8.84</v>
      </c>
      <c r="O10" s="119">
        <v>18</v>
      </c>
      <c r="P10" s="120">
        <f t="shared" ref="P10" si="24">F10-O10</f>
        <v>3.8879999999999981</v>
      </c>
      <c r="Q10" s="126">
        <f t="shared" ref="Q10:Q11" si="25">F10/O10*100</f>
        <v>121.6</v>
      </c>
      <c r="R10" s="120">
        <f t="shared" si="19"/>
        <v>12</v>
      </c>
      <c r="S10" s="120">
        <f t="shared" ref="S10" si="26">F10-R10</f>
        <v>9.8879999999999981</v>
      </c>
      <c r="T10" s="126">
        <f t="shared" si="16"/>
        <v>182.39999999999998</v>
      </c>
      <c r="U10" s="121">
        <f t="shared" si="20"/>
        <v>121.6</v>
      </c>
      <c r="V10" s="118">
        <v>12.968999999999999</v>
      </c>
      <c r="W10" s="120">
        <f t="shared" si="17"/>
        <v>8.9189999999999987</v>
      </c>
      <c r="X10" s="121">
        <f t="shared" ref="X10:X11" si="27">F10/V10*100</f>
        <v>168.77168632893822</v>
      </c>
      <c r="Y10" s="76"/>
      <c r="Z10" s="76"/>
      <c r="AA10" s="76"/>
      <c r="AB10" s="77"/>
    </row>
    <row r="11" spans="1:39" s="82" customFormat="1" ht="58.5" x14ac:dyDescent="0.25">
      <c r="A11" s="79" t="s">
        <v>103</v>
      </c>
      <c r="B11" s="167" t="s">
        <v>95</v>
      </c>
      <c r="C11" s="66" t="s">
        <v>96</v>
      </c>
      <c r="D11" s="122">
        <v>415</v>
      </c>
      <c r="E11" s="122">
        <v>415</v>
      </c>
      <c r="F11" s="123">
        <f t="shared" si="18"/>
        <v>211.78700000000001</v>
      </c>
      <c r="G11" s="122">
        <v>0</v>
      </c>
      <c r="H11" s="122">
        <v>143.292</v>
      </c>
      <c r="I11" s="122">
        <v>0</v>
      </c>
      <c r="J11" s="122">
        <v>0</v>
      </c>
      <c r="K11" s="122">
        <v>21.864000000000001</v>
      </c>
      <c r="L11" s="122">
        <v>0</v>
      </c>
      <c r="M11" s="122">
        <v>0.10299999999999999</v>
      </c>
      <c r="N11" s="122">
        <v>46.527999999999999</v>
      </c>
      <c r="O11" s="124">
        <v>210</v>
      </c>
      <c r="P11" s="125">
        <f t="shared" si="14"/>
        <v>1.7870000000000061</v>
      </c>
      <c r="Q11" s="126">
        <f t="shared" si="25"/>
        <v>100.85095238095238</v>
      </c>
      <c r="R11" s="125">
        <f t="shared" si="19"/>
        <v>276.66666666666669</v>
      </c>
      <c r="S11" s="125">
        <f t="shared" si="15"/>
        <v>-64.879666666666679</v>
      </c>
      <c r="T11" s="126">
        <f t="shared" si="16"/>
        <v>76.54951807228916</v>
      </c>
      <c r="U11" s="126">
        <f t="shared" si="20"/>
        <v>51.033012048192774</v>
      </c>
      <c r="V11" s="123">
        <v>286.57600000000002</v>
      </c>
      <c r="W11" s="125">
        <f t="shared" si="17"/>
        <v>-74.789000000000016</v>
      </c>
      <c r="X11" s="126">
        <f t="shared" si="27"/>
        <v>73.902559879403711</v>
      </c>
    </row>
    <row r="12" spans="1:39" s="82" customFormat="1" ht="39" x14ac:dyDescent="0.25">
      <c r="A12" s="79" t="s">
        <v>104</v>
      </c>
      <c r="B12" s="167" t="s">
        <v>123</v>
      </c>
      <c r="C12" s="66" t="s">
        <v>99</v>
      </c>
      <c r="D12" s="122">
        <v>96</v>
      </c>
      <c r="E12" s="122">
        <v>96</v>
      </c>
      <c r="F12" s="123">
        <f t="shared" si="18"/>
        <v>69.361999999999995</v>
      </c>
      <c r="G12" s="122">
        <v>0.45700000000000002</v>
      </c>
      <c r="H12" s="122">
        <v>19.710999999999999</v>
      </c>
      <c r="I12" s="122">
        <v>10.050000000000001</v>
      </c>
      <c r="J12" s="122">
        <v>1.119</v>
      </c>
      <c r="K12" s="122">
        <v>8.4749999999999996</v>
      </c>
      <c r="L12" s="122">
        <v>0.12</v>
      </c>
      <c r="M12" s="122">
        <v>1.357</v>
      </c>
      <c r="N12" s="122">
        <v>28.073</v>
      </c>
      <c r="O12" s="124">
        <v>69.319999999999993</v>
      </c>
      <c r="P12" s="125">
        <f t="shared" si="14"/>
        <v>4.2000000000001592E-2</v>
      </c>
      <c r="Q12" s="126">
        <f>F12/O12*100</f>
        <v>100.06058857472591</v>
      </c>
      <c r="R12" s="125">
        <f t="shared" si="19"/>
        <v>64</v>
      </c>
      <c r="S12" s="125">
        <f t="shared" si="15"/>
        <v>5.3619999999999948</v>
      </c>
      <c r="T12" s="126">
        <f t="shared" si="16"/>
        <v>108.378125</v>
      </c>
      <c r="U12" s="126">
        <f t="shared" si="20"/>
        <v>72.252083333333331</v>
      </c>
      <c r="V12" s="123">
        <v>66.811000000000007</v>
      </c>
      <c r="W12" s="125">
        <f t="shared" si="17"/>
        <v>2.5509999999999877</v>
      </c>
      <c r="X12" s="126">
        <f t="shared" ref="X12:X20" si="28">F12/V12*100</f>
        <v>103.81823352441961</v>
      </c>
    </row>
    <row r="13" spans="1:39" s="82" customFormat="1" ht="39" x14ac:dyDescent="0.25">
      <c r="A13" s="79" t="s">
        <v>128</v>
      </c>
      <c r="B13" s="167" t="s">
        <v>122</v>
      </c>
      <c r="C13" s="66" t="s">
        <v>121</v>
      </c>
      <c r="D13" s="122">
        <v>110</v>
      </c>
      <c r="E13" s="122">
        <v>110</v>
      </c>
      <c r="F13" s="123">
        <f t="shared" si="18"/>
        <v>1.5179999999999998</v>
      </c>
      <c r="G13" s="122">
        <v>0.16</v>
      </c>
      <c r="H13" s="122">
        <v>0</v>
      </c>
      <c r="I13" s="122">
        <v>0</v>
      </c>
      <c r="J13" s="122">
        <v>0</v>
      </c>
      <c r="K13" s="122">
        <v>1.1859999999999999</v>
      </c>
      <c r="L13" s="122"/>
      <c r="M13" s="122">
        <v>0.17199999999999999</v>
      </c>
      <c r="N13" s="122">
        <v>0</v>
      </c>
      <c r="O13" s="124">
        <v>1.51</v>
      </c>
      <c r="P13" s="125">
        <f t="shared" si="14"/>
        <v>7.9999999999997851E-3</v>
      </c>
      <c r="Q13" s="126">
        <f>F13/O13*100</f>
        <v>100.52980132450328</v>
      </c>
      <c r="R13" s="125">
        <f t="shared" si="19"/>
        <v>73.333333333333329</v>
      </c>
      <c r="S13" s="125">
        <f t="shared" si="15"/>
        <v>-71.815333333333328</v>
      </c>
      <c r="T13" s="126">
        <f t="shared" si="16"/>
        <v>2.0699999999999998</v>
      </c>
      <c r="U13" s="126">
        <f t="shared" si="20"/>
        <v>1.38</v>
      </c>
      <c r="V13" s="123">
        <v>74.838000000000008</v>
      </c>
      <c r="W13" s="125">
        <f t="shared" si="17"/>
        <v>-73.320000000000007</v>
      </c>
      <c r="X13" s="126">
        <f t="shared" si="28"/>
        <v>2.0283813036158094</v>
      </c>
    </row>
    <row r="14" spans="1:39" s="78" customFormat="1" ht="23.25" x14ac:dyDescent="0.25">
      <c r="A14" s="74">
        <v>4</v>
      </c>
      <c r="B14" s="105" t="s">
        <v>85</v>
      </c>
      <c r="C14" s="100" t="s">
        <v>84</v>
      </c>
      <c r="D14" s="117">
        <f>D15+D18</f>
        <v>363500</v>
      </c>
      <c r="E14" s="117">
        <f>E15+E18</f>
        <v>373500</v>
      </c>
      <c r="F14" s="118">
        <f t="shared" si="18"/>
        <v>267733.44400000002</v>
      </c>
      <c r="G14" s="117">
        <f t="shared" ref="G14:N14" si="29">G15+G18</f>
        <v>34903.103000000003</v>
      </c>
      <c r="H14" s="117">
        <f t="shared" si="29"/>
        <v>30285.707999999999</v>
      </c>
      <c r="I14" s="117">
        <f t="shared" si="29"/>
        <v>27886.862000000001</v>
      </c>
      <c r="J14" s="117">
        <f t="shared" si="29"/>
        <v>30002.395000000004</v>
      </c>
      <c r="K14" s="117">
        <f t="shared" ref="K14:M14" si="30">K15+K18</f>
        <v>33502.967000000004</v>
      </c>
      <c r="L14" s="117">
        <f t="shared" si="30"/>
        <v>36492.016000000003</v>
      </c>
      <c r="M14" s="117">
        <f t="shared" si="30"/>
        <v>37945.421000000002</v>
      </c>
      <c r="N14" s="117">
        <f t="shared" si="29"/>
        <v>36714.971999999994</v>
      </c>
      <c r="O14" s="119">
        <f>O15+O18</f>
        <v>264720</v>
      </c>
      <c r="P14" s="120">
        <f t="shared" si="14"/>
        <v>3013.4440000000177</v>
      </c>
      <c r="Q14" s="121">
        <f>F14/O14*100</f>
        <v>101.1383514656996</v>
      </c>
      <c r="R14" s="120">
        <f t="shared" si="19"/>
        <v>249000</v>
      </c>
      <c r="S14" s="120">
        <f t="shared" si="15"/>
        <v>18733.444000000018</v>
      </c>
      <c r="T14" s="121">
        <f t="shared" si="16"/>
        <v>107.52347148594379</v>
      </c>
      <c r="U14" s="121">
        <f t="shared" si="20"/>
        <v>71.68231432396253</v>
      </c>
      <c r="V14" s="118">
        <f>V15+V18</f>
        <v>139533.78900000002</v>
      </c>
      <c r="W14" s="120">
        <f t="shared" si="17"/>
        <v>128199.655</v>
      </c>
      <c r="X14" s="121">
        <f t="shared" si="28"/>
        <v>191.87714023877041</v>
      </c>
    </row>
    <row r="15" spans="1:39" s="82" customFormat="1" ht="39" x14ac:dyDescent="0.25">
      <c r="A15" s="79" t="s">
        <v>117</v>
      </c>
      <c r="B15" s="167" t="s">
        <v>183</v>
      </c>
      <c r="C15" s="191" t="s">
        <v>190</v>
      </c>
      <c r="D15" s="122">
        <f>SUM(D16:D17)</f>
        <v>97000</v>
      </c>
      <c r="E15" s="122">
        <f>SUM(E16:E17)</f>
        <v>107000</v>
      </c>
      <c r="F15" s="123">
        <f t="shared" si="18"/>
        <v>83790.946000000011</v>
      </c>
      <c r="G15" s="122">
        <f t="shared" ref="G15:O15" si="31">SUM(G16:G17)</f>
        <v>11182.674000000001</v>
      </c>
      <c r="H15" s="122">
        <f t="shared" si="31"/>
        <v>8470.1849999999995</v>
      </c>
      <c r="I15" s="122">
        <f t="shared" si="31"/>
        <v>9010.5910000000003</v>
      </c>
      <c r="J15" s="122">
        <f t="shared" si="31"/>
        <v>8681.0480000000007</v>
      </c>
      <c r="K15" s="122">
        <f t="shared" ref="K15:M15" si="32">SUM(K16:K17)</f>
        <v>10079.210999999999</v>
      </c>
      <c r="L15" s="122">
        <f t="shared" si="32"/>
        <v>13029.067999999999</v>
      </c>
      <c r="M15" s="122">
        <f t="shared" si="32"/>
        <v>10680.380000000001</v>
      </c>
      <c r="N15" s="122">
        <f t="shared" si="31"/>
        <v>12657.788999999999</v>
      </c>
      <c r="O15" s="124">
        <f t="shared" si="31"/>
        <v>83120</v>
      </c>
      <c r="P15" s="125">
        <f t="shared" ref="P15" si="33">F15-O15</f>
        <v>670.94600000001083</v>
      </c>
      <c r="Q15" s="126">
        <f>F15/O15*100</f>
        <v>100.80720163618867</v>
      </c>
      <c r="R15" s="125">
        <f t="shared" si="19"/>
        <v>71333.333333333328</v>
      </c>
      <c r="S15" s="125">
        <f t="shared" ref="S15" si="34">F15-R15</f>
        <v>12457.612666666682</v>
      </c>
      <c r="T15" s="126">
        <f t="shared" ref="T15" si="35">F15/R15*100</f>
        <v>117.46394299065423</v>
      </c>
      <c r="U15" s="126">
        <f t="shared" ref="U15" si="36">F15/E15*100</f>
        <v>78.309295327102816</v>
      </c>
      <c r="V15" s="123">
        <f>SUM(V16:V17)</f>
        <v>18560.651000000002</v>
      </c>
      <c r="W15" s="125">
        <f t="shared" si="17"/>
        <v>65230.295000000013</v>
      </c>
      <c r="X15" s="126">
        <f t="shared" si="28"/>
        <v>451.44400376904883</v>
      </c>
    </row>
    <row r="16" spans="1:39" s="82" customFormat="1" ht="39" x14ac:dyDescent="0.25">
      <c r="A16" s="79" t="s">
        <v>179</v>
      </c>
      <c r="B16" s="167" t="s">
        <v>89</v>
      </c>
      <c r="C16" s="191"/>
      <c r="D16" s="122">
        <v>7000</v>
      </c>
      <c r="E16" s="122">
        <v>17000</v>
      </c>
      <c r="F16" s="123">
        <f t="shared" si="18"/>
        <v>16699.798999999999</v>
      </c>
      <c r="G16" s="122">
        <v>766.33199999999999</v>
      </c>
      <c r="H16" s="122">
        <v>831.39099999999996</v>
      </c>
      <c r="I16" s="122">
        <v>2540.6590000000001</v>
      </c>
      <c r="J16" s="122">
        <v>2080.511</v>
      </c>
      <c r="K16" s="122">
        <v>1919.4639999999999</v>
      </c>
      <c r="L16" s="122">
        <v>3403.424</v>
      </c>
      <c r="M16" s="122">
        <v>1979.9480000000001</v>
      </c>
      <c r="N16" s="122">
        <v>3178.07</v>
      </c>
      <c r="O16" s="124">
        <v>16420</v>
      </c>
      <c r="P16" s="125">
        <f t="shared" si="14"/>
        <v>279.79899999999907</v>
      </c>
      <c r="Q16" s="121">
        <f t="shared" ref="Q16:Q17" si="37">F16/O16*100</f>
        <v>101.70401339829476</v>
      </c>
      <c r="R16" s="125">
        <f t="shared" si="19"/>
        <v>11333.333333333334</v>
      </c>
      <c r="S16" s="125">
        <f t="shared" si="15"/>
        <v>5366.4656666666651</v>
      </c>
      <c r="T16" s="126">
        <f t="shared" si="16"/>
        <v>147.35116764705879</v>
      </c>
      <c r="U16" s="126">
        <f t="shared" si="20"/>
        <v>98.234111764705872</v>
      </c>
      <c r="V16" s="123">
        <v>4231</v>
      </c>
      <c r="W16" s="125">
        <f t="shared" si="17"/>
        <v>12468.798999999999</v>
      </c>
      <c r="X16" s="126">
        <f t="shared" si="28"/>
        <v>394.7009926731269</v>
      </c>
      <c r="Y16" s="80">
        <f>V16+V17</f>
        <v>18560.651000000002</v>
      </c>
      <c r="Z16" s="80">
        <f>F16+F17</f>
        <v>83790.945999999996</v>
      </c>
    </row>
    <row r="17" spans="1:27" s="82" customFormat="1" ht="39" x14ac:dyDescent="0.25">
      <c r="A17" s="79" t="s">
        <v>180</v>
      </c>
      <c r="B17" s="167" t="s">
        <v>90</v>
      </c>
      <c r="C17" s="191"/>
      <c r="D17" s="122">
        <v>90000</v>
      </c>
      <c r="E17" s="122">
        <v>90000</v>
      </c>
      <c r="F17" s="123">
        <f t="shared" si="18"/>
        <v>67091.146999999997</v>
      </c>
      <c r="G17" s="122">
        <v>10416.342000000001</v>
      </c>
      <c r="H17" s="122">
        <v>7638.7939999999999</v>
      </c>
      <c r="I17" s="122">
        <v>6469.9319999999998</v>
      </c>
      <c r="J17" s="122">
        <v>6600.5370000000003</v>
      </c>
      <c r="K17" s="122">
        <v>8159.7470000000003</v>
      </c>
      <c r="L17" s="122">
        <v>9625.6440000000002</v>
      </c>
      <c r="M17" s="122">
        <v>8700.4320000000007</v>
      </c>
      <c r="N17" s="122">
        <v>9479.7189999999991</v>
      </c>
      <c r="O17" s="124">
        <v>66700</v>
      </c>
      <c r="P17" s="125">
        <f t="shared" si="14"/>
        <v>391.14699999999721</v>
      </c>
      <c r="Q17" s="121">
        <f t="shared" si="37"/>
        <v>100.58642728635682</v>
      </c>
      <c r="R17" s="125">
        <f t="shared" si="19"/>
        <v>60000</v>
      </c>
      <c r="S17" s="125">
        <f t="shared" si="15"/>
        <v>7091.1469999999972</v>
      </c>
      <c r="T17" s="126">
        <f t="shared" si="16"/>
        <v>111.81857833333333</v>
      </c>
      <c r="U17" s="126">
        <f t="shared" si="20"/>
        <v>74.545718888888885</v>
      </c>
      <c r="V17" s="123">
        <v>14329.651000000002</v>
      </c>
      <c r="W17" s="125">
        <f t="shared" si="17"/>
        <v>52761.495999999999</v>
      </c>
      <c r="X17" s="126">
        <f t="shared" si="28"/>
        <v>468.19805311378479</v>
      </c>
    </row>
    <row r="18" spans="1:27" s="82" customFormat="1" ht="39" x14ac:dyDescent="0.25">
      <c r="A18" s="79" t="s">
        <v>118</v>
      </c>
      <c r="B18" s="167" t="s">
        <v>91</v>
      </c>
      <c r="C18" s="66" t="s">
        <v>56</v>
      </c>
      <c r="D18" s="122">
        <f t="shared" ref="D18:E18" si="38">SUM(D19:D20)</f>
        <v>266500</v>
      </c>
      <c r="E18" s="122">
        <f t="shared" si="38"/>
        <v>266500</v>
      </c>
      <c r="F18" s="123">
        <f t="shared" si="18"/>
        <v>183942.49799999999</v>
      </c>
      <c r="G18" s="122">
        <f t="shared" ref="G18:O18" si="39">SUM(G19:G20)</f>
        <v>23720.429</v>
      </c>
      <c r="H18" s="122">
        <f t="shared" si="39"/>
        <v>21815.523000000001</v>
      </c>
      <c r="I18" s="122">
        <f t="shared" si="39"/>
        <v>18876.271000000001</v>
      </c>
      <c r="J18" s="122">
        <f t="shared" si="39"/>
        <v>21321.347000000002</v>
      </c>
      <c r="K18" s="122">
        <f t="shared" si="39"/>
        <v>23423.756000000001</v>
      </c>
      <c r="L18" s="122">
        <f t="shared" ref="L18:M18" si="40">SUM(L19:L20)</f>
        <v>23462.948</v>
      </c>
      <c r="M18" s="122">
        <f t="shared" si="40"/>
        <v>27265.041000000001</v>
      </c>
      <c r="N18" s="122">
        <f t="shared" si="39"/>
        <v>24057.182999999997</v>
      </c>
      <c r="O18" s="122">
        <f t="shared" si="39"/>
        <v>181600</v>
      </c>
      <c r="P18" s="125">
        <f t="shared" si="14"/>
        <v>2342.4979999999923</v>
      </c>
      <c r="Q18" s="126">
        <f t="shared" ref="Q18:Q29" si="41">F18/O18*100</f>
        <v>101.2899218061674</v>
      </c>
      <c r="R18" s="125">
        <f t="shared" si="19"/>
        <v>177666.66666666666</v>
      </c>
      <c r="S18" s="125">
        <f t="shared" si="15"/>
        <v>6275.8313333333354</v>
      </c>
      <c r="T18" s="126">
        <f t="shared" si="16"/>
        <v>103.53236285178235</v>
      </c>
      <c r="U18" s="126">
        <f t="shared" si="20"/>
        <v>69.021575234521578</v>
      </c>
      <c r="V18" s="123">
        <f>V19+V20</f>
        <v>120973.13800000001</v>
      </c>
      <c r="W18" s="125">
        <f t="shared" si="17"/>
        <v>62969.359999999986</v>
      </c>
      <c r="X18" s="126">
        <f t="shared" si="28"/>
        <v>152.05234900990993</v>
      </c>
    </row>
    <row r="19" spans="1:27" s="82" customFormat="1" ht="97.5" x14ac:dyDescent="0.25">
      <c r="A19" s="79" t="s">
        <v>181</v>
      </c>
      <c r="B19" s="167" t="s">
        <v>135</v>
      </c>
      <c r="C19" s="66">
        <v>14040100</v>
      </c>
      <c r="D19" s="122">
        <v>116500</v>
      </c>
      <c r="E19" s="122">
        <v>116500</v>
      </c>
      <c r="F19" s="123">
        <f t="shared" si="18"/>
        <v>108302.42099999999</v>
      </c>
      <c r="G19" s="122">
        <v>13155.423000000001</v>
      </c>
      <c r="H19" s="122">
        <v>13427.712</v>
      </c>
      <c r="I19" s="122">
        <v>11258.771000000001</v>
      </c>
      <c r="J19" s="122">
        <v>13501.348</v>
      </c>
      <c r="K19" s="122">
        <v>13399.839</v>
      </c>
      <c r="L19" s="122">
        <v>13298.172</v>
      </c>
      <c r="M19" s="122">
        <v>17049.847000000002</v>
      </c>
      <c r="N19" s="122">
        <v>13211.308999999999</v>
      </c>
      <c r="O19" s="124">
        <v>106200</v>
      </c>
      <c r="P19" s="125">
        <f t="shared" ref="P19:P21" si="42">F19-O19</f>
        <v>2102.4209999999875</v>
      </c>
      <c r="Q19" s="126">
        <f t="shared" ref="Q19:Q20" si="43">F19/O19*100</f>
        <v>101.97968079096044</v>
      </c>
      <c r="R19" s="125">
        <f t="shared" si="19"/>
        <v>77666.666666666672</v>
      </c>
      <c r="S19" s="125">
        <f t="shared" ref="S19:S21" si="44">F19-R19</f>
        <v>30635.754333333316</v>
      </c>
      <c r="T19" s="126">
        <f t="shared" ref="T19:T20" si="45">F19/R19*100</f>
        <v>139.44517725321884</v>
      </c>
      <c r="U19" s="126">
        <f t="shared" si="20"/>
        <v>92.963451502145915</v>
      </c>
      <c r="V19" s="123">
        <v>26147.493999999999</v>
      </c>
      <c r="W19" s="125">
        <f t="shared" si="17"/>
        <v>82154.926999999996</v>
      </c>
      <c r="X19" s="126">
        <f t="shared" si="28"/>
        <v>414.19809102929707</v>
      </c>
    </row>
    <row r="20" spans="1:27" s="82" customFormat="1" ht="78" x14ac:dyDescent="0.25">
      <c r="A20" s="79" t="s">
        <v>182</v>
      </c>
      <c r="B20" s="167" t="s">
        <v>136</v>
      </c>
      <c r="C20" s="66">
        <v>14040200</v>
      </c>
      <c r="D20" s="122">
        <v>150000</v>
      </c>
      <c r="E20" s="122">
        <v>150000</v>
      </c>
      <c r="F20" s="123">
        <f t="shared" si="18"/>
        <v>75640.07699999999</v>
      </c>
      <c r="G20" s="122">
        <v>10565.005999999999</v>
      </c>
      <c r="H20" s="122">
        <v>8387.8109999999997</v>
      </c>
      <c r="I20" s="122">
        <v>7617.5</v>
      </c>
      <c r="J20" s="122">
        <v>7819.9989999999998</v>
      </c>
      <c r="K20" s="122">
        <v>10023.916999999999</v>
      </c>
      <c r="L20" s="122">
        <v>10164.776</v>
      </c>
      <c r="M20" s="122">
        <v>10215.194</v>
      </c>
      <c r="N20" s="122">
        <v>10845.874</v>
      </c>
      <c r="O20" s="124">
        <v>75400</v>
      </c>
      <c r="P20" s="125">
        <f t="shared" si="42"/>
        <v>240.07699999999022</v>
      </c>
      <c r="Q20" s="126">
        <f t="shared" si="43"/>
        <v>100.31840450928379</v>
      </c>
      <c r="R20" s="125">
        <f t="shared" si="19"/>
        <v>100000</v>
      </c>
      <c r="S20" s="125">
        <f t="shared" si="44"/>
        <v>-24359.92300000001</v>
      </c>
      <c r="T20" s="126">
        <f t="shared" si="45"/>
        <v>75.640076999999991</v>
      </c>
      <c r="U20" s="126">
        <f t="shared" si="20"/>
        <v>50.426717999999994</v>
      </c>
      <c r="V20" s="123">
        <v>94825.644</v>
      </c>
      <c r="W20" s="125">
        <f t="shared" si="17"/>
        <v>-19185.56700000001</v>
      </c>
      <c r="X20" s="126">
        <f t="shared" si="28"/>
        <v>79.767533136922324</v>
      </c>
    </row>
    <row r="21" spans="1:27" s="106" customFormat="1" ht="23.25" x14ac:dyDescent="0.25">
      <c r="A21" s="74">
        <v>5</v>
      </c>
      <c r="B21" s="83" t="s">
        <v>138</v>
      </c>
      <c r="C21" s="75" t="s">
        <v>139</v>
      </c>
      <c r="D21" s="117">
        <v>0</v>
      </c>
      <c r="E21" s="117">
        <v>0</v>
      </c>
      <c r="F21" s="118">
        <f t="shared" si="18"/>
        <v>1.2E-2</v>
      </c>
      <c r="G21" s="117">
        <v>0</v>
      </c>
      <c r="H21" s="117">
        <v>0</v>
      </c>
      <c r="I21" s="117">
        <v>0</v>
      </c>
      <c r="J21" s="117">
        <v>1.2E-2</v>
      </c>
      <c r="K21" s="117"/>
      <c r="L21" s="117"/>
      <c r="M21" s="117">
        <v>0</v>
      </c>
      <c r="N21" s="117">
        <v>0</v>
      </c>
      <c r="O21" s="119"/>
      <c r="P21" s="120">
        <f t="shared" si="42"/>
        <v>1.2E-2</v>
      </c>
      <c r="Q21" s="121"/>
      <c r="R21" s="120">
        <f t="shared" si="19"/>
        <v>0</v>
      </c>
      <c r="S21" s="120">
        <f t="shared" si="44"/>
        <v>1.2E-2</v>
      </c>
      <c r="T21" s="121"/>
      <c r="U21" s="121"/>
      <c r="V21" s="118">
        <v>6.7789999999999999</v>
      </c>
      <c r="W21" s="120">
        <f t="shared" si="17"/>
        <v>-6.7670000000000003</v>
      </c>
      <c r="X21" s="121"/>
      <c r="Y21" s="151"/>
      <c r="Z21" s="151"/>
    </row>
    <row r="22" spans="1:27" s="106" customFormat="1" ht="39" x14ac:dyDescent="0.25">
      <c r="A22" s="74">
        <v>6</v>
      </c>
      <c r="B22" s="83" t="s">
        <v>132</v>
      </c>
      <c r="C22" s="75" t="s">
        <v>38</v>
      </c>
      <c r="D22" s="117">
        <f>D23+D24+D25+D27+D26</f>
        <v>1164164.4849999999</v>
      </c>
      <c r="E22" s="117">
        <f>E23+E24+E25+E27+E26</f>
        <v>1195000.5</v>
      </c>
      <c r="F22" s="118">
        <f t="shared" si="18"/>
        <v>871352.14500000002</v>
      </c>
      <c r="G22" s="117">
        <f t="shared" ref="G22:O22" si="46">G23+G24+G25+G27+G26</f>
        <v>135837.954</v>
      </c>
      <c r="H22" s="117">
        <f t="shared" ref="H22:M22" si="47">H23+H24+H25+H27+H26</f>
        <v>97665.689000000013</v>
      </c>
      <c r="I22" s="117">
        <f t="shared" si="47"/>
        <v>71427.986999999994</v>
      </c>
      <c r="J22" s="117">
        <f t="shared" si="47"/>
        <v>131213.022</v>
      </c>
      <c r="K22" s="117">
        <f t="shared" si="47"/>
        <v>98625.87999999999</v>
      </c>
      <c r="L22" s="117">
        <f t="shared" si="47"/>
        <v>84481.77</v>
      </c>
      <c r="M22" s="117">
        <f t="shared" si="47"/>
        <v>139688.96500000003</v>
      </c>
      <c r="N22" s="117">
        <f t="shared" si="46"/>
        <v>112410.87800000001</v>
      </c>
      <c r="O22" s="119">
        <f t="shared" si="46"/>
        <v>773179.25199999998</v>
      </c>
      <c r="P22" s="120">
        <f t="shared" si="14"/>
        <v>98172.89300000004</v>
      </c>
      <c r="Q22" s="121">
        <f t="shared" si="41"/>
        <v>112.697300496108</v>
      </c>
      <c r="R22" s="120">
        <f t="shared" si="19"/>
        <v>796667</v>
      </c>
      <c r="S22" s="120">
        <f t="shared" si="15"/>
        <v>74685.145000000019</v>
      </c>
      <c r="T22" s="121">
        <f t="shared" si="16"/>
        <v>109.37470047083661</v>
      </c>
      <c r="U22" s="121">
        <f t="shared" si="20"/>
        <v>72.916466980557743</v>
      </c>
      <c r="V22" s="118">
        <f t="shared" ref="V22" si="48">V23+V24+V25+V27+V26</f>
        <v>718115.571</v>
      </c>
      <c r="W22" s="120">
        <f t="shared" si="17"/>
        <v>153236.57400000002</v>
      </c>
      <c r="X22" s="121">
        <f t="shared" ref="X22:X27" si="49">F22/V22*100</f>
        <v>121.33870649631132</v>
      </c>
      <c r="Y22" s="151">
        <f>V24+V25+V23</f>
        <v>235009.609</v>
      </c>
      <c r="Z22" s="151">
        <f>F23+F24+F25</f>
        <v>305452.815</v>
      </c>
    </row>
    <row r="23" spans="1:27" s="108" customFormat="1" ht="23.25" x14ac:dyDescent="0.25">
      <c r="A23" s="107" t="s">
        <v>140</v>
      </c>
      <c r="B23" s="168" t="s">
        <v>57</v>
      </c>
      <c r="C23" s="193" t="s">
        <v>44</v>
      </c>
      <c r="D23" s="122">
        <v>121980</v>
      </c>
      <c r="E23" s="122">
        <v>121980</v>
      </c>
      <c r="F23" s="123">
        <f t="shared" si="18"/>
        <v>103434.261</v>
      </c>
      <c r="G23" s="122">
        <v>17215.075000000001</v>
      </c>
      <c r="H23" s="122">
        <v>4947.9989999999998</v>
      </c>
      <c r="I23" s="122">
        <v>6293.1809999999996</v>
      </c>
      <c r="J23" s="122">
        <v>23659.424999999999</v>
      </c>
      <c r="K23" s="122">
        <v>8386.5069999999996</v>
      </c>
      <c r="L23" s="122">
        <v>9446.65</v>
      </c>
      <c r="M23" s="122">
        <v>24417.967000000001</v>
      </c>
      <c r="N23" s="122">
        <v>9067.4570000000003</v>
      </c>
      <c r="O23" s="124">
        <v>96709.764999999999</v>
      </c>
      <c r="P23" s="125">
        <f t="shared" si="14"/>
        <v>6724.4959999999992</v>
      </c>
      <c r="Q23" s="126">
        <f t="shared" si="41"/>
        <v>106.95327509067982</v>
      </c>
      <c r="R23" s="150">
        <f t="shared" si="19"/>
        <v>81320</v>
      </c>
      <c r="S23" s="125">
        <f t="shared" si="15"/>
        <v>22114.260999999999</v>
      </c>
      <c r="T23" s="126">
        <f t="shared" si="16"/>
        <v>127.1941232169208</v>
      </c>
      <c r="U23" s="126">
        <f t="shared" si="20"/>
        <v>84.796082144613877</v>
      </c>
      <c r="V23" s="123">
        <v>74145.832999999999</v>
      </c>
      <c r="W23" s="125">
        <f t="shared" si="17"/>
        <v>29288.428</v>
      </c>
      <c r="X23" s="126">
        <f t="shared" si="49"/>
        <v>139.50111127620616</v>
      </c>
    </row>
    <row r="24" spans="1:27" s="108" customFormat="1" ht="23.25" x14ac:dyDescent="0.25">
      <c r="A24" s="79" t="s">
        <v>141</v>
      </c>
      <c r="B24" s="168" t="s">
        <v>7</v>
      </c>
      <c r="C24" s="193"/>
      <c r="D24" s="122">
        <v>287000</v>
      </c>
      <c r="E24" s="122">
        <v>287000</v>
      </c>
      <c r="F24" s="123">
        <f t="shared" si="18"/>
        <v>200645.09399999998</v>
      </c>
      <c r="G24" s="122">
        <v>17562.599999999999</v>
      </c>
      <c r="H24" s="122">
        <v>25973.133000000002</v>
      </c>
      <c r="I24" s="122">
        <v>24076.474999999999</v>
      </c>
      <c r="J24" s="122">
        <v>25493.025000000001</v>
      </c>
      <c r="K24" s="122">
        <v>26040.036</v>
      </c>
      <c r="L24" s="122">
        <v>27182.236000000001</v>
      </c>
      <c r="M24" s="122">
        <v>27242.027999999998</v>
      </c>
      <c r="N24" s="122">
        <v>27075.561000000002</v>
      </c>
      <c r="O24" s="124">
        <v>190897</v>
      </c>
      <c r="P24" s="125">
        <f t="shared" si="14"/>
        <v>9748.0939999999828</v>
      </c>
      <c r="Q24" s="126">
        <f t="shared" si="41"/>
        <v>105.10646788582324</v>
      </c>
      <c r="R24" s="120">
        <f t="shared" si="19"/>
        <v>191333.33333333334</v>
      </c>
      <c r="S24" s="125">
        <f t="shared" si="15"/>
        <v>9311.7606666666397</v>
      </c>
      <c r="T24" s="126">
        <f t="shared" si="16"/>
        <v>104.8667738675958</v>
      </c>
      <c r="U24" s="126">
        <f t="shared" si="20"/>
        <v>69.911182578397202</v>
      </c>
      <c r="V24" s="123">
        <v>159973.133</v>
      </c>
      <c r="W24" s="125">
        <f t="shared" si="17"/>
        <v>40671.960999999981</v>
      </c>
      <c r="X24" s="126">
        <f t="shared" si="49"/>
        <v>125.42424483241194</v>
      </c>
    </row>
    <row r="25" spans="1:27" s="108" customFormat="1" ht="23.25" x14ac:dyDescent="0.25">
      <c r="A25" s="79" t="s">
        <v>142</v>
      </c>
      <c r="B25" s="168" t="s">
        <v>58</v>
      </c>
      <c r="C25" s="193"/>
      <c r="D25" s="122">
        <v>1410</v>
      </c>
      <c r="E25" s="122">
        <v>1410</v>
      </c>
      <c r="F25" s="123">
        <f t="shared" si="18"/>
        <v>1373.46</v>
      </c>
      <c r="G25" s="122">
        <v>204.43299999999999</v>
      </c>
      <c r="H25" s="122">
        <v>73.540999999999997</v>
      </c>
      <c r="I25" s="122">
        <v>34.834000000000003</v>
      </c>
      <c r="J25" s="122">
        <v>154.41999999999999</v>
      </c>
      <c r="K25" s="122">
        <v>145.92500000000001</v>
      </c>
      <c r="L25" s="122">
        <v>78</v>
      </c>
      <c r="M25" s="122">
        <v>426.25</v>
      </c>
      <c r="N25" s="122">
        <v>256.05700000000002</v>
      </c>
      <c r="O25" s="124">
        <v>937.7</v>
      </c>
      <c r="P25" s="125">
        <f t="shared" si="14"/>
        <v>435.76</v>
      </c>
      <c r="Q25" s="126">
        <f t="shared" si="41"/>
        <v>146.47115282073159</v>
      </c>
      <c r="R25" s="120">
        <f t="shared" si="19"/>
        <v>940</v>
      </c>
      <c r="S25" s="125">
        <f t="shared" si="15"/>
        <v>433.46000000000004</v>
      </c>
      <c r="T25" s="126">
        <f t="shared" si="16"/>
        <v>146.11276595744681</v>
      </c>
      <c r="U25" s="126">
        <f t="shared" si="20"/>
        <v>97.408510638297869</v>
      </c>
      <c r="V25" s="123">
        <v>890.64300000000003</v>
      </c>
      <c r="W25" s="125">
        <f t="shared" si="17"/>
        <v>482.81700000000001</v>
      </c>
      <c r="X25" s="126">
        <f t="shared" si="49"/>
        <v>154.20993596760994</v>
      </c>
      <c r="Y25" s="126">
        <f>100-X25</f>
        <v>-54.209935967609937</v>
      </c>
      <c r="Z25" s="109"/>
      <c r="AA25" s="110" t="e">
        <f>F23/#REF!*100</f>
        <v>#REF!</v>
      </c>
    </row>
    <row r="26" spans="1:27" s="112" customFormat="1" ht="23.25" x14ac:dyDescent="0.25">
      <c r="A26" s="79" t="s">
        <v>143</v>
      </c>
      <c r="B26" s="168" t="s">
        <v>40</v>
      </c>
      <c r="C26" s="111" t="s">
        <v>39</v>
      </c>
      <c r="D26" s="122">
        <v>2250</v>
      </c>
      <c r="E26" s="122">
        <v>2250</v>
      </c>
      <c r="F26" s="123">
        <f t="shared" si="18"/>
        <v>1623.4929999999999</v>
      </c>
      <c r="G26" s="122">
        <v>138.30099999999999</v>
      </c>
      <c r="H26" s="122">
        <v>277.065</v>
      </c>
      <c r="I26" s="122">
        <v>62.359000000000002</v>
      </c>
      <c r="J26" s="122">
        <v>252.548</v>
      </c>
      <c r="K26" s="122">
        <v>210.529</v>
      </c>
      <c r="L26" s="122">
        <v>93.471000000000004</v>
      </c>
      <c r="M26" s="122">
        <v>271.08600000000001</v>
      </c>
      <c r="N26" s="122">
        <v>318.13400000000001</v>
      </c>
      <c r="O26" s="124">
        <v>1506.85</v>
      </c>
      <c r="P26" s="125">
        <f t="shared" si="14"/>
        <v>116.64300000000003</v>
      </c>
      <c r="Q26" s="126">
        <f t="shared" si="41"/>
        <v>107.74085011779539</v>
      </c>
      <c r="R26" s="120">
        <f t="shared" si="19"/>
        <v>1500</v>
      </c>
      <c r="S26" s="125">
        <f t="shared" si="15"/>
        <v>123.49299999999994</v>
      </c>
      <c r="T26" s="126">
        <f t="shared" si="16"/>
        <v>108.23286666666667</v>
      </c>
      <c r="U26" s="126">
        <f t="shared" si="20"/>
        <v>72.155244444444449</v>
      </c>
      <c r="V26" s="123">
        <v>1544.0260000000001</v>
      </c>
      <c r="W26" s="122">
        <f t="shared" si="17"/>
        <v>79.466999999999871</v>
      </c>
      <c r="X26" s="126">
        <f t="shared" si="49"/>
        <v>105.14673975697299</v>
      </c>
    </row>
    <row r="27" spans="1:27" s="108" customFormat="1" ht="23.25" x14ac:dyDescent="0.25">
      <c r="A27" s="79" t="s">
        <v>144</v>
      </c>
      <c r="B27" s="168" t="s">
        <v>33</v>
      </c>
      <c r="C27" s="147" t="s">
        <v>34</v>
      </c>
      <c r="D27" s="122">
        <v>751524.48499999999</v>
      </c>
      <c r="E27" s="122">
        <v>782360.5</v>
      </c>
      <c r="F27" s="123">
        <f t="shared" si="18"/>
        <v>564275.83700000006</v>
      </c>
      <c r="G27" s="122">
        <v>100717.545</v>
      </c>
      <c r="H27" s="122">
        <v>66393.951000000001</v>
      </c>
      <c r="I27" s="122">
        <v>40961.137999999999</v>
      </c>
      <c r="J27" s="122">
        <v>81653.604000000007</v>
      </c>
      <c r="K27" s="122">
        <v>63842.883000000002</v>
      </c>
      <c r="L27" s="122">
        <v>47681.413</v>
      </c>
      <c r="M27" s="122">
        <v>87331.634000000005</v>
      </c>
      <c r="N27" s="122">
        <v>75693.668999999994</v>
      </c>
      <c r="O27" s="124">
        <v>483127.93699999998</v>
      </c>
      <c r="P27" s="125">
        <f t="shared" si="14"/>
        <v>81147.900000000081</v>
      </c>
      <c r="Q27" s="126">
        <f t="shared" si="41"/>
        <v>116.7963584353848</v>
      </c>
      <c r="R27" s="120">
        <f t="shared" si="19"/>
        <v>521573.66666666669</v>
      </c>
      <c r="S27" s="125">
        <f t="shared" si="15"/>
        <v>42702.170333333372</v>
      </c>
      <c r="T27" s="126">
        <f t="shared" si="16"/>
        <v>108.18717912011151</v>
      </c>
      <c r="U27" s="126">
        <f t="shared" si="20"/>
        <v>72.124786080074344</v>
      </c>
      <c r="V27" s="123">
        <v>481561.93599999999</v>
      </c>
      <c r="W27" s="125">
        <f t="shared" si="17"/>
        <v>82713.901000000071</v>
      </c>
      <c r="X27" s="126">
        <f t="shared" si="49"/>
        <v>117.17617087576457</v>
      </c>
      <c r="Z27" s="109"/>
      <c r="AA27" s="110" t="e">
        <f>F27/#REF!*100</f>
        <v>#REF!</v>
      </c>
    </row>
    <row r="28" spans="1:27" s="78" customFormat="1" ht="39" x14ac:dyDescent="0.25">
      <c r="A28" s="74">
        <v>7</v>
      </c>
      <c r="B28" s="83" t="s">
        <v>46</v>
      </c>
      <c r="C28" s="75" t="s">
        <v>17</v>
      </c>
      <c r="D28" s="117">
        <v>940</v>
      </c>
      <c r="E28" s="117">
        <v>1040</v>
      </c>
      <c r="F28" s="118">
        <f t="shared" si="18"/>
        <v>1649.2429999999999</v>
      </c>
      <c r="G28" s="117">
        <v>1.22</v>
      </c>
      <c r="H28" s="117">
        <v>9.2029999999999994</v>
      </c>
      <c r="I28" s="117">
        <v>370.61599999999999</v>
      </c>
      <c r="J28" s="117">
        <v>47.322000000000003</v>
      </c>
      <c r="K28" s="117">
        <v>485.68299999999999</v>
      </c>
      <c r="L28" s="117">
        <v>0.34</v>
      </c>
      <c r="M28" s="117">
        <v>32.968000000000004</v>
      </c>
      <c r="N28" s="117">
        <v>701.89099999999996</v>
      </c>
      <c r="O28" s="119">
        <v>1040</v>
      </c>
      <c r="P28" s="120">
        <f t="shared" si="14"/>
        <v>609.24299999999994</v>
      </c>
      <c r="Q28" s="121">
        <f t="shared" si="41"/>
        <v>158.5810576923077</v>
      </c>
      <c r="R28" s="120">
        <f t="shared" si="19"/>
        <v>693.33333333333337</v>
      </c>
      <c r="S28" s="120">
        <f t="shared" si="15"/>
        <v>955.90966666666657</v>
      </c>
      <c r="T28" s="121">
        <f t="shared" si="16"/>
        <v>237.87158653846151</v>
      </c>
      <c r="U28" s="121">
        <f t="shared" si="20"/>
        <v>158.5810576923077</v>
      </c>
      <c r="V28" s="118">
        <v>553.31099999999992</v>
      </c>
      <c r="W28" s="120">
        <f t="shared" si="17"/>
        <v>1095.932</v>
      </c>
      <c r="X28" s="121">
        <f>F28/V28*100</f>
        <v>298.06799431061381</v>
      </c>
      <c r="Y28" s="77">
        <f>100-X28</f>
        <v>-198.06799431061381</v>
      </c>
    </row>
    <row r="29" spans="1:27" s="78" customFormat="1" ht="23.25" x14ac:dyDescent="0.25">
      <c r="A29" s="74">
        <f t="shared" ref="A29:A37" si="50">A28+1</f>
        <v>8</v>
      </c>
      <c r="B29" s="83" t="s">
        <v>68</v>
      </c>
      <c r="C29" s="75" t="s">
        <v>67</v>
      </c>
      <c r="D29" s="117">
        <v>29000</v>
      </c>
      <c r="E29" s="117">
        <v>30300</v>
      </c>
      <c r="F29" s="118">
        <f t="shared" si="18"/>
        <v>30343.200000000001</v>
      </c>
      <c r="G29" s="117">
        <v>0</v>
      </c>
      <c r="H29" s="117">
        <v>0</v>
      </c>
      <c r="I29" s="117">
        <v>30343.200000000001</v>
      </c>
      <c r="J29" s="117">
        <v>0</v>
      </c>
      <c r="K29" s="117">
        <v>0</v>
      </c>
      <c r="L29" s="117">
        <v>0</v>
      </c>
      <c r="M29" s="117">
        <v>0</v>
      </c>
      <c r="N29" s="117">
        <v>0</v>
      </c>
      <c r="O29" s="119">
        <v>30300</v>
      </c>
      <c r="P29" s="120">
        <f t="shared" si="14"/>
        <v>43.200000000000728</v>
      </c>
      <c r="Q29" s="121">
        <f t="shared" si="41"/>
        <v>100.14257425742574</v>
      </c>
      <c r="R29" s="120">
        <f t="shared" si="19"/>
        <v>20200</v>
      </c>
      <c r="S29" s="120">
        <f t="shared" si="15"/>
        <v>10143.200000000001</v>
      </c>
      <c r="T29" s="121">
        <f t="shared" si="16"/>
        <v>150.2138613861386</v>
      </c>
      <c r="U29" s="121">
        <f t="shared" si="20"/>
        <v>100.14257425742574</v>
      </c>
      <c r="V29" s="118">
        <v>9160.6229999999996</v>
      </c>
      <c r="W29" s="120">
        <f t="shared" si="17"/>
        <v>21182.577000000001</v>
      </c>
      <c r="X29" s="121">
        <f>F29/V29*100</f>
        <v>331.23511359434838</v>
      </c>
    </row>
    <row r="30" spans="1:27" s="78" customFormat="1" ht="23.25" x14ac:dyDescent="0.25">
      <c r="A30" s="74">
        <f t="shared" si="50"/>
        <v>9</v>
      </c>
      <c r="B30" s="83" t="s">
        <v>8</v>
      </c>
      <c r="C30" s="75" t="s">
        <v>18</v>
      </c>
      <c r="D30" s="117">
        <v>100</v>
      </c>
      <c r="E30" s="117">
        <v>845</v>
      </c>
      <c r="F30" s="118">
        <f t="shared" si="18"/>
        <v>845.92</v>
      </c>
      <c r="G30" s="117">
        <v>87.317999999999998</v>
      </c>
      <c r="H30" s="117">
        <v>69.724000000000004</v>
      </c>
      <c r="I30" s="117">
        <v>430.935</v>
      </c>
      <c r="J30" s="117">
        <v>257.94299999999998</v>
      </c>
      <c r="K30" s="117">
        <v>0</v>
      </c>
      <c r="L30" s="117">
        <v>0</v>
      </c>
      <c r="M30" s="117">
        <v>0</v>
      </c>
      <c r="N30" s="117">
        <v>0</v>
      </c>
      <c r="O30" s="119">
        <v>845</v>
      </c>
      <c r="P30" s="120">
        <f t="shared" si="14"/>
        <v>0.91999999999995907</v>
      </c>
      <c r="Q30" s="121">
        <f t="shared" ref="Q30:Q45" si="51">F30/O30*100</f>
        <v>100.10887573964497</v>
      </c>
      <c r="R30" s="120">
        <f t="shared" si="19"/>
        <v>563.33333333333337</v>
      </c>
      <c r="S30" s="120">
        <f t="shared" si="15"/>
        <v>282.58666666666659</v>
      </c>
      <c r="T30" s="121">
        <f t="shared" si="16"/>
        <v>150.16331360946745</v>
      </c>
      <c r="U30" s="121">
        <f t="shared" si="20"/>
        <v>100.10887573964497</v>
      </c>
      <c r="V30" s="118">
        <v>468.96</v>
      </c>
      <c r="W30" s="120">
        <f t="shared" si="17"/>
        <v>376.96</v>
      </c>
      <c r="X30" s="121"/>
    </row>
    <row r="31" spans="1:27" s="78" customFormat="1" ht="58.5" x14ac:dyDescent="0.25">
      <c r="A31" s="74">
        <f t="shared" si="50"/>
        <v>10</v>
      </c>
      <c r="B31" s="140" t="s">
        <v>86</v>
      </c>
      <c r="C31" s="101" t="s">
        <v>87</v>
      </c>
      <c r="D31" s="117">
        <v>12</v>
      </c>
      <c r="E31" s="117">
        <v>12</v>
      </c>
      <c r="F31" s="118">
        <f t="shared" si="18"/>
        <v>-5.5400000000000009</v>
      </c>
      <c r="G31" s="117">
        <v>7.4999999999999997E-2</v>
      </c>
      <c r="H31" s="117">
        <v>0</v>
      </c>
      <c r="I31" s="117">
        <v>-11.85</v>
      </c>
      <c r="J31" s="117">
        <v>0</v>
      </c>
      <c r="K31" s="117">
        <v>1.135</v>
      </c>
      <c r="L31" s="117">
        <v>0</v>
      </c>
      <c r="M31" s="117">
        <v>0</v>
      </c>
      <c r="N31" s="117">
        <v>5.0999999999999996</v>
      </c>
      <c r="O31" s="119">
        <v>0</v>
      </c>
      <c r="P31" s="120">
        <f t="shared" si="14"/>
        <v>-5.5400000000000009</v>
      </c>
      <c r="Q31" s="121"/>
      <c r="R31" s="120">
        <f t="shared" si="19"/>
        <v>8</v>
      </c>
      <c r="S31" s="120">
        <f t="shared" si="15"/>
        <v>-13.540000000000001</v>
      </c>
      <c r="T31" s="121">
        <f t="shared" si="16"/>
        <v>-69.250000000000014</v>
      </c>
      <c r="U31" s="121">
        <f t="shared" si="20"/>
        <v>-46.166666666666671</v>
      </c>
      <c r="V31" s="118">
        <v>5.1849999999999996</v>
      </c>
      <c r="W31" s="120">
        <f t="shared" si="17"/>
        <v>-10.725000000000001</v>
      </c>
      <c r="X31" s="121">
        <f t="shared" ref="X31:X44" si="52">F31/V31*100</f>
        <v>-106.84667309546771</v>
      </c>
    </row>
    <row r="32" spans="1:27" s="78" customFormat="1" ht="23.25" x14ac:dyDescent="0.25">
      <c r="A32" s="74">
        <f t="shared" si="50"/>
        <v>11</v>
      </c>
      <c r="B32" s="136" t="s">
        <v>30</v>
      </c>
      <c r="C32" s="75" t="s">
        <v>24</v>
      </c>
      <c r="D32" s="117">
        <v>10000</v>
      </c>
      <c r="E32" s="117">
        <v>10000</v>
      </c>
      <c r="F32" s="118">
        <f t="shared" si="18"/>
        <v>9432.3469999999998</v>
      </c>
      <c r="G32" s="117">
        <v>808.93100000000004</v>
      </c>
      <c r="H32" s="117">
        <v>945.82899999999995</v>
      </c>
      <c r="I32" s="117">
        <v>1144.22</v>
      </c>
      <c r="J32" s="117">
        <v>1080.778</v>
      </c>
      <c r="K32" s="117">
        <v>1569.3620000000001</v>
      </c>
      <c r="L32" s="117">
        <v>1179.481</v>
      </c>
      <c r="M32" s="117">
        <v>1178.9770000000001</v>
      </c>
      <c r="N32" s="117">
        <v>1524.769</v>
      </c>
      <c r="O32" s="119">
        <v>9335</v>
      </c>
      <c r="P32" s="120">
        <f t="shared" si="14"/>
        <v>97.346999999999753</v>
      </c>
      <c r="Q32" s="121">
        <f t="shared" si="51"/>
        <v>101.04281735404392</v>
      </c>
      <c r="R32" s="120">
        <f t="shared" si="19"/>
        <v>6666.666666666667</v>
      </c>
      <c r="S32" s="120">
        <f t="shared" si="15"/>
        <v>2765.6803333333328</v>
      </c>
      <c r="T32" s="121">
        <f t="shared" si="16"/>
        <v>141.48520499999998</v>
      </c>
      <c r="U32" s="121">
        <f t="shared" si="20"/>
        <v>94.32347</v>
      </c>
      <c r="V32" s="118">
        <v>5598.3769999999995</v>
      </c>
      <c r="W32" s="120">
        <f t="shared" si="17"/>
        <v>3833.9700000000003</v>
      </c>
      <c r="X32" s="121">
        <f t="shared" si="52"/>
        <v>168.4835980142102</v>
      </c>
      <c r="Y32" s="77">
        <f>100-X32</f>
        <v>-68.483598014210202</v>
      </c>
    </row>
    <row r="33" spans="1:28" s="78" customFormat="1" ht="39" x14ac:dyDescent="0.25">
      <c r="A33" s="74">
        <f t="shared" si="50"/>
        <v>12</v>
      </c>
      <c r="B33" s="136" t="s">
        <v>78</v>
      </c>
      <c r="C33" s="75" t="s">
        <v>77</v>
      </c>
      <c r="D33" s="117">
        <v>450</v>
      </c>
      <c r="E33" s="117">
        <v>450</v>
      </c>
      <c r="F33" s="118">
        <f t="shared" si="18"/>
        <v>592.76599999999996</v>
      </c>
      <c r="G33" s="117">
        <v>26</v>
      </c>
      <c r="H33" s="117">
        <v>107</v>
      </c>
      <c r="I33" s="117">
        <v>33.244999999999997</v>
      </c>
      <c r="J33" s="117">
        <v>31.8</v>
      </c>
      <c r="K33" s="117">
        <v>103.499</v>
      </c>
      <c r="L33" s="117">
        <v>83.5</v>
      </c>
      <c r="M33" s="117">
        <v>46</v>
      </c>
      <c r="N33" s="117">
        <v>161.72200000000001</v>
      </c>
      <c r="O33" s="119">
        <v>450</v>
      </c>
      <c r="P33" s="120">
        <f t="shared" si="14"/>
        <v>142.76599999999996</v>
      </c>
      <c r="Q33" s="121">
        <f t="shared" si="51"/>
        <v>131.72577777777775</v>
      </c>
      <c r="R33" s="120">
        <f t="shared" si="19"/>
        <v>300</v>
      </c>
      <c r="S33" s="120">
        <f t="shared" si="15"/>
        <v>292.76599999999996</v>
      </c>
      <c r="T33" s="121">
        <f t="shared" si="16"/>
        <v>197.58866666666665</v>
      </c>
      <c r="U33" s="121">
        <f t="shared" si="20"/>
        <v>131.72577777777775</v>
      </c>
      <c r="V33" s="118">
        <v>179.27199999999999</v>
      </c>
      <c r="W33" s="120">
        <f t="shared" si="17"/>
        <v>413.49399999999997</v>
      </c>
      <c r="X33" s="121">
        <f t="shared" si="52"/>
        <v>330.65174706591102</v>
      </c>
    </row>
    <row r="34" spans="1:28" s="78" customFormat="1" ht="23.25" x14ac:dyDescent="0.25">
      <c r="A34" s="74">
        <f t="shared" si="50"/>
        <v>13</v>
      </c>
      <c r="B34" s="136" t="s">
        <v>105</v>
      </c>
      <c r="C34" s="75" t="s">
        <v>106</v>
      </c>
      <c r="D34" s="117">
        <v>17700</v>
      </c>
      <c r="E34" s="117">
        <v>17700</v>
      </c>
      <c r="F34" s="118">
        <f t="shared" si="18"/>
        <v>13476.818000000001</v>
      </c>
      <c r="G34" s="117">
        <v>1414.5129999999999</v>
      </c>
      <c r="H34" s="117">
        <v>1797.0060000000001</v>
      </c>
      <c r="I34" s="117">
        <v>1830.355</v>
      </c>
      <c r="J34" s="117">
        <v>1762.269</v>
      </c>
      <c r="K34" s="117">
        <v>1736.9860000000001</v>
      </c>
      <c r="L34" s="117">
        <v>1563.895</v>
      </c>
      <c r="M34" s="117">
        <v>1629.444</v>
      </c>
      <c r="N34" s="117">
        <v>1742.35</v>
      </c>
      <c r="O34" s="119">
        <v>13050</v>
      </c>
      <c r="P34" s="120">
        <f t="shared" si="14"/>
        <v>426.81800000000112</v>
      </c>
      <c r="Q34" s="121">
        <f t="shared" si="51"/>
        <v>103.27063601532569</v>
      </c>
      <c r="R34" s="120">
        <f t="shared" si="19"/>
        <v>11800</v>
      </c>
      <c r="S34" s="120">
        <f t="shared" si="15"/>
        <v>1676.8180000000011</v>
      </c>
      <c r="T34" s="121">
        <f t="shared" si="16"/>
        <v>114.21032203389831</v>
      </c>
      <c r="U34" s="121">
        <f t="shared" si="20"/>
        <v>76.140214689265534</v>
      </c>
      <c r="V34" s="118">
        <v>11959.253999999997</v>
      </c>
      <c r="W34" s="120">
        <f t="shared" si="17"/>
        <v>1517.5640000000039</v>
      </c>
      <c r="X34" s="121">
        <f t="shared" si="52"/>
        <v>112.68945370672789</v>
      </c>
    </row>
    <row r="35" spans="1:28" s="78" customFormat="1" ht="39" x14ac:dyDescent="0.25">
      <c r="A35" s="74">
        <f>A34+1</f>
        <v>14</v>
      </c>
      <c r="B35" s="136" t="s">
        <v>154</v>
      </c>
      <c r="C35" s="75" t="s">
        <v>153</v>
      </c>
      <c r="D35" s="117">
        <v>0</v>
      </c>
      <c r="E35" s="117">
        <v>1600</v>
      </c>
      <c r="F35" s="118">
        <f t="shared" si="18"/>
        <v>2442.0929999999998</v>
      </c>
      <c r="G35" s="117">
        <v>0</v>
      </c>
      <c r="H35" s="117">
        <v>501.57299999999998</v>
      </c>
      <c r="I35" s="117">
        <v>891.15099999999995</v>
      </c>
      <c r="J35" s="117">
        <v>30.734000000000002</v>
      </c>
      <c r="K35" s="117">
        <v>54.744999999999997</v>
      </c>
      <c r="L35" s="117">
        <v>92.102000000000004</v>
      </c>
      <c r="M35" s="117">
        <v>363.49299999999999</v>
      </c>
      <c r="N35" s="117">
        <v>508.29500000000002</v>
      </c>
      <c r="O35" s="119">
        <v>1600</v>
      </c>
      <c r="P35" s="120">
        <f t="shared" si="14"/>
        <v>842.09299999999985</v>
      </c>
      <c r="Q35" s="121">
        <f t="shared" si="51"/>
        <v>152.63081249999999</v>
      </c>
      <c r="R35" s="120">
        <f t="shared" si="19"/>
        <v>1066.6666666666667</v>
      </c>
      <c r="S35" s="120">
        <f t="shared" si="15"/>
        <v>1375.4263333333331</v>
      </c>
      <c r="T35" s="121">
        <f t="shared" ref="T35" si="53">F35/R35*100</f>
        <v>228.94621874999999</v>
      </c>
      <c r="U35" s="121">
        <f t="shared" ref="U35" si="54">F35/E35*100</f>
        <v>152.63081249999999</v>
      </c>
      <c r="V35" s="118">
        <v>0</v>
      </c>
      <c r="W35" s="120">
        <f t="shared" si="17"/>
        <v>2442.0929999999998</v>
      </c>
      <c r="X35" s="121"/>
    </row>
    <row r="36" spans="1:28" s="78" customFormat="1" ht="78" x14ac:dyDescent="0.25">
      <c r="A36" s="74">
        <f t="shared" si="50"/>
        <v>15</v>
      </c>
      <c r="B36" s="136" t="s">
        <v>129</v>
      </c>
      <c r="C36" s="75" t="s">
        <v>130</v>
      </c>
      <c r="D36" s="117">
        <v>58</v>
      </c>
      <c r="E36" s="117">
        <v>58</v>
      </c>
      <c r="F36" s="118">
        <f t="shared" si="18"/>
        <v>32.147999999999996</v>
      </c>
      <c r="G36" s="117">
        <v>1.99</v>
      </c>
      <c r="H36" s="117">
        <v>5.36</v>
      </c>
      <c r="I36" s="117">
        <v>2.0099999999999998</v>
      </c>
      <c r="J36" s="117">
        <v>2.68</v>
      </c>
      <c r="K36" s="117">
        <v>6.03</v>
      </c>
      <c r="L36" s="117">
        <v>2.0099999999999998</v>
      </c>
      <c r="M36" s="117">
        <v>8.718</v>
      </c>
      <c r="N36" s="117">
        <v>3.35</v>
      </c>
      <c r="O36" s="119">
        <v>32</v>
      </c>
      <c r="P36" s="120">
        <f t="shared" si="14"/>
        <v>0.14799999999999613</v>
      </c>
      <c r="Q36" s="121">
        <f t="shared" si="51"/>
        <v>100.46249999999999</v>
      </c>
      <c r="R36" s="120">
        <f t="shared" si="19"/>
        <v>38.666666666666664</v>
      </c>
      <c r="S36" s="120">
        <f t="shared" ref="S36" si="55">F36-R36</f>
        <v>-6.5186666666666682</v>
      </c>
      <c r="T36" s="121">
        <f>F36/R36*100</f>
        <v>83.141379310344817</v>
      </c>
      <c r="U36" s="121">
        <f t="shared" si="20"/>
        <v>55.427586206896542</v>
      </c>
      <c r="V36" s="118">
        <v>41.524000000000001</v>
      </c>
      <c r="W36" s="120">
        <f t="shared" ref="W36" si="56">F36-V36</f>
        <v>-9.3760000000000048</v>
      </c>
      <c r="X36" s="121">
        <f t="shared" ref="X36" si="57">F36/V36*100</f>
        <v>77.42028706290337</v>
      </c>
    </row>
    <row r="37" spans="1:28" s="78" customFormat="1" ht="23.25" x14ac:dyDescent="0.25">
      <c r="A37" s="74">
        <f t="shared" si="50"/>
        <v>16</v>
      </c>
      <c r="B37" s="136" t="s">
        <v>80</v>
      </c>
      <c r="C37" s="75" t="s">
        <v>79</v>
      </c>
      <c r="D37" s="117">
        <f>SUM(D38:D41)</f>
        <v>43825</v>
      </c>
      <c r="E37" s="117">
        <f>SUM(E38:E41)</f>
        <v>43834</v>
      </c>
      <c r="F37" s="118">
        <f t="shared" si="18"/>
        <v>27106.380999999998</v>
      </c>
      <c r="G37" s="117">
        <f t="shared" ref="G37:O37" si="58">SUM(G38:G41)</f>
        <v>2787.4590000000003</v>
      </c>
      <c r="H37" s="117">
        <f t="shared" ref="H37:M37" si="59">SUM(H38:H41)</f>
        <v>3000.232</v>
      </c>
      <c r="I37" s="117">
        <f t="shared" si="59"/>
        <v>3380.7479999999996</v>
      </c>
      <c r="J37" s="117">
        <f t="shared" si="59"/>
        <v>2782.9470000000006</v>
      </c>
      <c r="K37" s="117">
        <f t="shared" si="59"/>
        <v>3854.3329999999996</v>
      </c>
      <c r="L37" s="117">
        <f t="shared" si="59"/>
        <v>3910.6880000000001</v>
      </c>
      <c r="M37" s="117">
        <f t="shared" si="59"/>
        <v>3717.2630000000004</v>
      </c>
      <c r="N37" s="117">
        <f t="shared" si="58"/>
        <v>3672.7110000000002</v>
      </c>
      <c r="O37" s="119">
        <f t="shared" si="58"/>
        <v>26903.4</v>
      </c>
      <c r="P37" s="120">
        <f t="shared" si="14"/>
        <v>202.98099999999613</v>
      </c>
      <c r="Q37" s="121">
        <f t="shared" si="51"/>
        <v>100.75448084628707</v>
      </c>
      <c r="R37" s="120">
        <f t="shared" si="19"/>
        <v>29222.666666666668</v>
      </c>
      <c r="S37" s="120">
        <f t="shared" si="15"/>
        <v>-2116.2856666666703</v>
      </c>
      <c r="T37" s="121">
        <f t="shared" si="16"/>
        <v>92.75806793813021</v>
      </c>
      <c r="U37" s="121">
        <f t="shared" si="20"/>
        <v>61.838711958753478</v>
      </c>
      <c r="V37" s="118">
        <f t="shared" ref="V37" si="60">SUM(V38:V41)</f>
        <v>28380.422000000002</v>
      </c>
      <c r="W37" s="120">
        <f t="shared" si="17"/>
        <v>-1274.0410000000047</v>
      </c>
      <c r="X37" s="121">
        <f t="shared" si="52"/>
        <v>95.510845469457777</v>
      </c>
    </row>
    <row r="38" spans="1:28" s="82" customFormat="1" ht="39" x14ac:dyDescent="0.25">
      <c r="A38" s="79" t="s">
        <v>155</v>
      </c>
      <c r="B38" s="137" t="s">
        <v>72</v>
      </c>
      <c r="C38" s="147" t="s">
        <v>71</v>
      </c>
      <c r="D38" s="122">
        <v>1100</v>
      </c>
      <c r="E38" s="122">
        <v>1100</v>
      </c>
      <c r="F38" s="123">
        <f t="shared" si="18"/>
        <v>1031.1480000000001</v>
      </c>
      <c r="G38" s="122">
        <v>84.753</v>
      </c>
      <c r="H38" s="122">
        <v>114.929</v>
      </c>
      <c r="I38" s="122">
        <v>107.158</v>
      </c>
      <c r="J38" s="122">
        <v>110.23</v>
      </c>
      <c r="K38" s="122">
        <v>103.432</v>
      </c>
      <c r="L38" s="122">
        <v>196.40600000000001</v>
      </c>
      <c r="M38" s="122">
        <v>143.55199999999999</v>
      </c>
      <c r="N38" s="122">
        <v>170.68799999999999</v>
      </c>
      <c r="O38" s="124">
        <v>1023</v>
      </c>
      <c r="P38" s="125">
        <f t="shared" si="14"/>
        <v>8.1480000000001382</v>
      </c>
      <c r="Q38" s="126">
        <f t="shared" si="51"/>
        <v>100.79648093841644</v>
      </c>
      <c r="R38" s="120">
        <f t="shared" si="19"/>
        <v>733.33333333333337</v>
      </c>
      <c r="S38" s="125">
        <f t="shared" si="15"/>
        <v>297.81466666666677</v>
      </c>
      <c r="T38" s="126">
        <f t="shared" si="16"/>
        <v>140.61109090909093</v>
      </c>
      <c r="U38" s="126">
        <f t="shared" si="20"/>
        <v>93.740727272727284</v>
      </c>
      <c r="V38" s="123">
        <v>606.94799999999998</v>
      </c>
      <c r="W38" s="125">
        <f t="shared" si="17"/>
        <v>424.20000000000016</v>
      </c>
      <c r="X38" s="126">
        <f t="shared" si="52"/>
        <v>169.89066608671587</v>
      </c>
      <c r="Y38" s="126">
        <f>X38-100</f>
        <v>69.890666086715868</v>
      </c>
      <c r="Z38" s="80"/>
    </row>
    <row r="39" spans="1:28" s="82" customFormat="1" ht="23.25" x14ac:dyDescent="0.25">
      <c r="A39" s="79" t="s">
        <v>156</v>
      </c>
      <c r="B39" s="138" t="s">
        <v>59</v>
      </c>
      <c r="C39" s="66" t="s">
        <v>60</v>
      </c>
      <c r="D39" s="122">
        <v>42000</v>
      </c>
      <c r="E39" s="122">
        <v>42000</v>
      </c>
      <c r="F39" s="123">
        <f t="shared" si="18"/>
        <v>25492.074999999997</v>
      </c>
      <c r="G39" s="122">
        <v>2625.3359999999998</v>
      </c>
      <c r="H39" s="122">
        <v>2807.0549999999998</v>
      </c>
      <c r="I39" s="122">
        <v>3209.8519999999999</v>
      </c>
      <c r="J39" s="122">
        <v>2617.3290000000002</v>
      </c>
      <c r="K39" s="122">
        <v>3674.4009999999998</v>
      </c>
      <c r="L39" s="122">
        <v>3636.848</v>
      </c>
      <c r="M39" s="122">
        <v>3481.4430000000002</v>
      </c>
      <c r="N39" s="122">
        <v>3439.8110000000001</v>
      </c>
      <c r="O39" s="124">
        <v>25350</v>
      </c>
      <c r="P39" s="125">
        <f t="shared" si="14"/>
        <v>142.07499999999709</v>
      </c>
      <c r="Q39" s="126">
        <f t="shared" si="51"/>
        <v>100.56045364891517</v>
      </c>
      <c r="R39" s="120">
        <f t="shared" si="19"/>
        <v>28000</v>
      </c>
      <c r="S39" s="125">
        <f t="shared" si="15"/>
        <v>-2507.9250000000029</v>
      </c>
      <c r="T39" s="126">
        <f t="shared" si="16"/>
        <v>91.043124999999989</v>
      </c>
      <c r="U39" s="126">
        <f t="shared" si="20"/>
        <v>60.695416666666659</v>
      </c>
      <c r="V39" s="123">
        <v>27344.775000000001</v>
      </c>
      <c r="W39" s="125">
        <f t="shared" si="17"/>
        <v>-1852.7000000000044</v>
      </c>
      <c r="X39" s="126">
        <f t="shared" si="52"/>
        <v>93.224665406828166</v>
      </c>
      <c r="Y39" s="126">
        <f>X39-100</f>
        <v>-6.7753345931718343</v>
      </c>
      <c r="Z39" s="81"/>
    </row>
    <row r="40" spans="1:28" s="82" customFormat="1" ht="39" x14ac:dyDescent="0.25">
      <c r="A40" s="79" t="s">
        <v>157</v>
      </c>
      <c r="B40" s="138" t="s">
        <v>76</v>
      </c>
      <c r="C40" s="66" t="s">
        <v>73</v>
      </c>
      <c r="D40" s="122">
        <v>680</v>
      </c>
      <c r="E40" s="122">
        <v>680</v>
      </c>
      <c r="F40" s="123">
        <f t="shared" si="18"/>
        <v>494.43799999999999</v>
      </c>
      <c r="G40" s="122">
        <v>73.34</v>
      </c>
      <c r="H40" s="122">
        <v>51.128</v>
      </c>
      <c r="I40" s="122">
        <v>60.787999999999997</v>
      </c>
      <c r="J40" s="122">
        <v>51.357999999999997</v>
      </c>
      <c r="K40" s="122">
        <v>72.23</v>
      </c>
      <c r="L40" s="122">
        <v>66.144000000000005</v>
      </c>
      <c r="M40" s="122">
        <v>64.608000000000004</v>
      </c>
      <c r="N40" s="122">
        <v>54.841999999999999</v>
      </c>
      <c r="O40" s="124">
        <v>476.4</v>
      </c>
      <c r="P40" s="125">
        <f t="shared" si="14"/>
        <v>18.038000000000011</v>
      </c>
      <c r="Q40" s="126">
        <f t="shared" si="51"/>
        <v>103.78631402183041</v>
      </c>
      <c r="R40" s="120">
        <f t="shared" si="19"/>
        <v>453.33333333333331</v>
      </c>
      <c r="S40" s="125">
        <f t="shared" si="15"/>
        <v>41.104666666666674</v>
      </c>
      <c r="T40" s="126">
        <f t="shared" si="16"/>
        <v>109.06720588235295</v>
      </c>
      <c r="U40" s="126">
        <f t="shared" si="20"/>
        <v>72.711470588235301</v>
      </c>
      <c r="V40" s="123">
        <v>399.339</v>
      </c>
      <c r="W40" s="125">
        <f t="shared" si="17"/>
        <v>95.09899999999999</v>
      </c>
      <c r="X40" s="126">
        <f t="shared" si="52"/>
        <v>123.81410280488507</v>
      </c>
    </row>
    <row r="41" spans="1:28" s="82" customFormat="1" ht="97.5" x14ac:dyDescent="0.25">
      <c r="A41" s="79" t="s">
        <v>158</v>
      </c>
      <c r="B41" s="139" t="s">
        <v>75</v>
      </c>
      <c r="C41" s="66" t="s">
        <v>74</v>
      </c>
      <c r="D41" s="122">
        <v>45</v>
      </c>
      <c r="E41" s="122">
        <v>54</v>
      </c>
      <c r="F41" s="123">
        <f t="shared" si="18"/>
        <v>88.720000000000013</v>
      </c>
      <c r="G41" s="122">
        <v>4.03</v>
      </c>
      <c r="H41" s="122">
        <v>27.12</v>
      </c>
      <c r="I41" s="122">
        <v>2.95</v>
      </c>
      <c r="J41" s="122">
        <v>4.03</v>
      </c>
      <c r="K41" s="122">
        <v>4.2699999999999996</v>
      </c>
      <c r="L41" s="122">
        <v>11.29</v>
      </c>
      <c r="M41" s="122">
        <v>27.66</v>
      </c>
      <c r="N41" s="122">
        <v>7.37</v>
      </c>
      <c r="O41" s="124">
        <v>54</v>
      </c>
      <c r="P41" s="125">
        <f t="shared" si="14"/>
        <v>34.720000000000013</v>
      </c>
      <c r="Q41" s="126">
        <f t="shared" si="51"/>
        <v>164.2962962962963</v>
      </c>
      <c r="R41" s="120">
        <f t="shared" si="19"/>
        <v>36</v>
      </c>
      <c r="S41" s="125">
        <f t="shared" si="15"/>
        <v>52.720000000000013</v>
      </c>
      <c r="T41" s="126">
        <f t="shared" si="16"/>
        <v>246.44444444444446</v>
      </c>
      <c r="U41" s="126">
        <f t="shared" si="20"/>
        <v>164.2962962962963</v>
      </c>
      <c r="V41" s="123">
        <v>29.359999999999996</v>
      </c>
      <c r="W41" s="125">
        <f t="shared" si="17"/>
        <v>59.360000000000014</v>
      </c>
      <c r="X41" s="126">
        <f t="shared" si="52"/>
        <v>302.17983651226166</v>
      </c>
    </row>
    <row r="42" spans="1:28" s="78" customFormat="1" ht="39" x14ac:dyDescent="0.25">
      <c r="A42" s="74">
        <v>16</v>
      </c>
      <c r="B42" s="175" t="s">
        <v>35</v>
      </c>
      <c r="C42" s="75" t="s">
        <v>19</v>
      </c>
      <c r="D42" s="117">
        <v>12000</v>
      </c>
      <c r="E42" s="117">
        <v>12000</v>
      </c>
      <c r="F42" s="118">
        <f t="shared" si="18"/>
        <v>11352.929999999998</v>
      </c>
      <c r="G42" s="117">
        <v>3396.0749999999998</v>
      </c>
      <c r="H42" s="117">
        <v>827.53700000000003</v>
      </c>
      <c r="I42" s="117">
        <v>1208.2950000000001</v>
      </c>
      <c r="J42" s="117">
        <v>1576.239</v>
      </c>
      <c r="K42" s="117">
        <v>1289.481</v>
      </c>
      <c r="L42" s="117">
        <v>1372.46</v>
      </c>
      <c r="M42" s="117">
        <v>830.077</v>
      </c>
      <c r="N42" s="117">
        <v>852.76599999999996</v>
      </c>
      <c r="O42" s="119">
        <v>11095</v>
      </c>
      <c r="P42" s="120">
        <f t="shared" si="14"/>
        <v>257.92999999999847</v>
      </c>
      <c r="Q42" s="121">
        <f t="shared" si="51"/>
        <v>102.32474087426769</v>
      </c>
      <c r="R42" s="120">
        <f t="shared" si="19"/>
        <v>8000</v>
      </c>
      <c r="S42" s="120">
        <f t="shared" si="15"/>
        <v>3352.9299999999985</v>
      </c>
      <c r="T42" s="121">
        <f t="shared" si="16"/>
        <v>141.91162499999999</v>
      </c>
      <c r="U42" s="121">
        <f t="shared" si="20"/>
        <v>94.607749999999996</v>
      </c>
      <c r="V42" s="118">
        <v>7521.0869999999995</v>
      </c>
      <c r="W42" s="120">
        <f t="shared" si="17"/>
        <v>3831.8429999999989</v>
      </c>
      <c r="X42" s="121">
        <f t="shared" si="52"/>
        <v>150.94799461833108</v>
      </c>
    </row>
    <row r="43" spans="1:28" s="78" customFormat="1" ht="23.25" x14ac:dyDescent="0.25">
      <c r="A43" s="74">
        <f t="shared" ref="A43:A49" si="61">A42+1</f>
        <v>17</v>
      </c>
      <c r="B43" s="83" t="s">
        <v>54</v>
      </c>
      <c r="C43" s="75" t="s">
        <v>15</v>
      </c>
      <c r="D43" s="117">
        <v>405.2</v>
      </c>
      <c r="E43" s="117">
        <v>545.20000000000005</v>
      </c>
      <c r="F43" s="118">
        <f t="shared" si="18"/>
        <v>640.74400000000003</v>
      </c>
      <c r="G43" s="117">
        <v>22.706</v>
      </c>
      <c r="H43" s="117">
        <v>55.402000000000001</v>
      </c>
      <c r="I43" s="117">
        <v>176.16900000000001</v>
      </c>
      <c r="J43" s="117">
        <v>42.792000000000002</v>
      </c>
      <c r="K43" s="117">
        <v>37.798999999999999</v>
      </c>
      <c r="L43" s="117">
        <v>154.74600000000001</v>
      </c>
      <c r="M43" s="117">
        <v>92.840999999999994</v>
      </c>
      <c r="N43" s="117">
        <v>58.289000000000001</v>
      </c>
      <c r="O43" s="119">
        <v>529.79999999999995</v>
      </c>
      <c r="P43" s="120">
        <f t="shared" si="14"/>
        <v>110.94400000000007</v>
      </c>
      <c r="Q43" s="121">
        <f t="shared" si="51"/>
        <v>120.94073235183089</v>
      </c>
      <c r="R43" s="120">
        <f t="shared" si="19"/>
        <v>363.4666666666667</v>
      </c>
      <c r="S43" s="120">
        <f t="shared" si="15"/>
        <v>277.27733333333333</v>
      </c>
      <c r="T43" s="121">
        <f t="shared" si="16"/>
        <v>176.28686720469551</v>
      </c>
      <c r="U43" s="121">
        <f t="shared" si="20"/>
        <v>117.52457813646369</v>
      </c>
      <c r="V43" s="118">
        <v>221.54200000000003</v>
      </c>
      <c r="W43" s="120">
        <f t="shared" si="17"/>
        <v>419.202</v>
      </c>
      <c r="X43" s="121">
        <f t="shared" si="52"/>
        <v>289.22010273447023</v>
      </c>
      <c r="Y43" s="77">
        <f>100-X43</f>
        <v>-189.22010273447023</v>
      </c>
    </row>
    <row r="44" spans="1:28" s="78" customFormat="1" ht="78" x14ac:dyDescent="0.25">
      <c r="A44" s="74">
        <f t="shared" si="61"/>
        <v>18</v>
      </c>
      <c r="B44" s="83" t="s">
        <v>93</v>
      </c>
      <c r="C44" s="75" t="s">
        <v>92</v>
      </c>
      <c r="D44" s="117">
        <v>24</v>
      </c>
      <c r="E44" s="117">
        <v>24</v>
      </c>
      <c r="F44" s="118">
        <f t="shared" si="18"/>
        <v>7.9710000000000001</v>
      </c>
      <c r="G44" s="117">
        <v>2.472</v>
      </c>
      <c r="H44" s="117">
        <v>0</v>
      </c>
      <c r="I44" s="117">
        <v>0</v>
      </c>
      <c r="J44" s="117">
        <v>4.8090000000000002</v>
      </c>
      <c r="K44" s="117">
        <v>0</v>
      </c>
      <c r="L44" s="117">
        <v>0</v>
      </c>
      <c r="M44" s="117">
        <v>0.69</v>
      </c>
      <c r="N44" s="117">
        <v>0</v>
      </c>
      <c r="O44" s="119">
        <v>7.8810000000000002</v>
      </c>
      <c r="P44" s="120">
        <f t="shared" si="14"/>
        <v>8.9999999999999858E-2</v>
      </c>
      <c r="Q44" s="121">
        <f t="shared" si="51"/>
        <v>101.14198705748001</v>
      </c>
      <c r="R44" s="120">
        <f t="shared" si="19"/>
        <v>16</v>
      </c>
      <c r="S44" s="120">
        <f t="shared" si="15"/>
        <v>-8.0289999999999999</v>
      </c>
      <c r="T44" s="121">
        <f t="shared" si="16"/>
        <v>49.818750000000001</v>
      </c>
      <c r="U44" s="121">
        <f t="shared" si="20"/>
        <v>33.212499999999999</v>
      </c>
      <c r="V44" s="118">
        <v>13.12</v>
      </c>
      <c r="W44" s="120">
        <f t="shared" si="17"/>
        <v>-5.1489999999999991</v>
      </c>
      <c r="X44" s="121">
        <f t="shared" si="52"/>
        <v>60.75457317073171</v>
      </c>
    </row>
    <row r="45" spans="1:28" s="78" customFormat="1" ht="23.25" x14ac:dyDescent="0.25">
      <c r="A45" s="74">
        <f t="shared" si="61"/>
        <v>19</v>
      </c>
      <c r="B45" s="105" t="s">
        <v>61</v>
      </c>
      <c r="C45" s="34" t="s">
        <v>62</v>
      </c>
      <c r="D45" s="117">
        <v>270</v>
      </c>
      <c r="E45" s="117">
        <v>370</v>
      </c>
      <c r="F45" s="118">
        <f t="shared" si="18"/>
        <v>369.09899999999999</v>
      </c>
      <c r="G45" s="117">
        <v>0</v>
      </c>
      <c r="H45" s="117">
        <v>0</v>
      </c>
      <c r="I45" s="117">
        <v>2.3719999999999999</v>
      </c>
      <c r="J45" s="117">
        <v>0</v>
      </c>
      <c r="K45" s="117">
        <v>0</v>
      </c>
      <c r="L45" s="117">
        <v>366.72699999999998</v>
      </c>
      <c r="M45" s="117">
        <v>0</v>
      </c>
      <c r="N45" s="117">
        <v>0</v>
      </c>
      <c r="O45" s="119">
        <v>368.3</v>
      </c>
      <c r="P45" s="120">
        <f t="shared" si="14"/>
        <v>0.79899999999997817</v>
      </c>
      <c r="Q45" s="121">
        <f t="shared" si="51"/>
        <v>100.21694270974749</v>
      </c>
      <c r="R45" s="120">
        <f t="shared" si="19"/>
        <v>246.66666666666666</v>
      </c>
      <c r="S45" s="120">
        <f t="shared" si="15"/>
        <v>122.43233333333333</v>
      </c>
      <c r="T45" s="121">
        <f t="shared" ref="T45:T50" si="62">F45/R45*100</f>
        <v>149.63472972972974</v>
      </c>
      <c r="U45" s="121">
        <f t="shared" si="20"/>
        <v>99.75648648648648</v>
      </c>
      <c r="V45" s="118">
        <v>0</v>
      </c>
      <c r="W45" s="120">
        <f t="shared" si="17"/>
        <v>369.09899999999999</v>
      </c>
      <c r="X45" s="121"/>
    </row>
    <row r="46" spans="1:28" s="78" customFormat="1" ht="23.25" x14ac:dyDescent="0.25">
      <c r="A46" s="74">
        <f t="shared" si="61"/>
        <v>20</v>
      </c>
      <c r="B46" s="83" t="s">
        <v>8</v>
      </c>
      <c r="C46" s="75" t="s">
        <v>20</v>
      </c>
      <c r="D46" s="117">
        <v>1700</v>
      </c>
      <c r="E46" s="117">
        <v>2200</v>
      </c>
      <c r="F46" s="118">
        <f t="shared" si="18"/>
        <v>2682.2740000000003</v>
      </c>
      <c r="G46" s="117">
        <v>255.631</v>
      </c>
      <c r="H46" s="117">
        <v>306.07900000000001</v>
      </c>
      <c r="I46" s="117">
        <v>239.01900000000001</v>
      </c>
      <c r="J46" s="117">
        <v>242.27799999999999</v>
      </c>
      <c r="K46" s="117">
        <v>732.68399999999997</v>
      </c>
      <c r="L46" s="117">
        <v>234.667</v>
      </c>
      <c r="M46" s="117">
        <v>382.30799999999999</v>
      </c>
      <c r="N46" s="117">
        <v>289.608</v>
      </c>
      <c r="O46" s="119">
        <v>2200</v>
      </c>
      <c r="P46" s="120">
        <f t="shared" ref="P46:P66" si="63">F46-O46</f>
        <v>482.27400000000034</v>
      </c>
      <c r="Q46" s="121">
        <f>F46/O46*100</f>
        <v>121.92154545454548</v>
      </c>
      <c r="R46" s="120">
        <f t="shared" si="19"/>
        <v>1466.6666666666667</v>
      </c>
      <c r="S46" s="120">
        <f t="shared" ref="S46:S66" si="64">F46-R46</f>
        <v>1215.6073333333336</v>
      </c>
      <c r="T46" s="121">
        <f t="shared" si="62"/>
        <v>182.88231818181819</v>
      </c>
      <c r="U46" s="121">
        <f t="shared" si="20"/>
        <v>121.92154545454548</v>
      </c>
      <c r="V46" s="118">
        <v>1199.684</v>
      </c>
      <c r="W46" s="120">
        <f t="shared" ref="W46:W66" si="65">F46-V46</f>
        <v>1482.5900000000004</v>
      </c>
      <c r="X46" s="121">
        <f>F46/V46*100</f>
        <v>223.58170985026061</v>
      </c>
      <c r="AB46" s="78">
        <v>246438.04</v>
      </c>
    </row>
    <row r="47" spans="1:28" s="78" customFormat="1" ht="136.5" x14ac:dyDescent="0.25">
      <c r="A47" s="74">
        <f t="shared" si="61"/>
        <v>21</v>
      </c>
      <c r="B47" s="83" t="s">
        <v>53</v>
      </c>
      <c r="C47" s="75" t="s">
        <v>47</v>
      </c>
      <c r="D47" s="117">
        <v>2000</v>
      </c>
      <c r="E47" s="117">
        <v>6500</v>
      </c>
      <c r="F47" s="118">
        <f t="shared" si="18"/>
        <v>7815.94</v>
      </c>
      <c r="G47" s="117">
        <v>1130.5809999999999</v>
      </c>
      <c r="H47" s="117">
        <v>421.64100000000002</v>
      </c>
      <c r="I47" s="117">
        <v>471.488</v>
      </c>
      <c r="J47" s="117">
        <v>3796.4290000000001</v>
      </c>
      <c r="K47" s="117">
        <v>366.95400000000001</v>
      </c>
      <c r="L47" s="117">
        <v>315.46699999999998</v>
      </c>
      <c r="M47" s="117">
        <v>650.78</v>
      </c>
      <c r="N47" s="117">
        <v>662.6</v>
      </c>
      <c r="O47" s="119">
        <v>6500</v>
      </c>
      <c r="P47" s="120">
        <f t="shared" si="63"/>
        <v>1315.9399999999996</v>
      </c>
      <c r="Q47" s="121">
        <f>F47/O47*100</f>
        <v>120.24523076923077</v>
      </c>
      <c r="R47" s="120">
        <f t="shared" si="19"/>
        <v>4333.333333333333</v>
      </c>
      <c r="S47" s="120">
        <f t="shared" si="64"/>
        <v>3482.6066666666666</v>
      </c>
      <c r="T47" s="121">
        <f t="shared" si="62"/>
        <v>180.36784615384616</v>
      </c>
      <c r="U47" s="121">
        <f t="shared" si="20"/>
        <v>120.24523076923077</v>
      </c>
      <c r="V47" s="118">
        <v>1270.0520000000001</v>
      </c>
      <c r="W47" s="120">
        <f t="shared" si="65"/>
        <v>6545.887999999999</v>
      </c>
      <c r="X47" s="121">
        <f>F47/V47*100</f>
        <v>615.40314884744862</v>
      </c>
    </row>
    <row r="48" spans="1:28" s="78" customFormat="1" ht="58.5" x14ac:dyDescent="0.25">
      <c r="A48" s="74">
        <f t="shared" si="61"/>
        <v>22</v>
      </c>
      <c r="B48" s="83" t="s">
        <v>120</v>
      </c>
      <c r="C48" s="75" t="s">
        <v>119</v>
      </c>
      <c r="D48" s="117">
        <v>0.25</v>
      </c>
      <c r="E48" s="117">
        <v>0.25</v>
      </c>
      <c r="F48" s="118">
        <f t="shared" si="18"/>
        <v>0</v>
      </c>
      <c r="G48" s="117">
        <v>0</v>
      </c>
      <c r="H48" s="117">
        <v>0</v>
      </c>
      <c r="I48" s="117">
        <v>0</v>
      </c>
      <c r="J48" s="117">
        <v>0</v>
      </c>
      <c r="K48" s="117">
        <v>0</v>
      </c>
      <c r="L48" s="117">
        <v>0</v>
      </c>
      <c r="M48" s="117">
        <v>0</v>
      </c>
      <c r="N48" s="117">
        <v>0</v>
      </c>
      <c r="O48" s="119">
        <v>0</v>
      </c>
      <c r="P48" s="120">
        <f t="shared" si="63"/>
        <v>0</v>
      </c>
      <c r="Q48" s="121"/>
      <c r="R48" s="120">
        <f t="shared" si="19"/>
        <v>0.16666666666666666</v>
      </c>
      <c r="S48" s="120">
        <f t="shared" si="64"/>
        <v>-0.16666666666666666</v>
      </c>
      <c r="T48" s="121">
        <f t="shared" si="62"/>
        <v>0</v>
      </c>
      <c r="U48" s="121">
        <f t="shared" si="20"/>
        <v>0</v>
      </c>
      <c r="V48" s="118">
        <v>0</v>
      </c>
      <c r="W48" s="120">
        <f t="shared" si="65"/>
        <v>0</v>
      </c>
      <c r="X48" s="121"/>
      <c r="Z48" s="76">
        <f>F50-F46</f>
        <v>3520347.1890000002</v>
      </c>
      <c r="AA48" s="76">
        <f>V50-V46</f>
        <v>2887863.4310000003</v>
      </c>
      <c r="AB48" s="77">
        <f>Z48/AA48</f>
        <v>1.2190144281791697</v>
      </c>
    </row>
    <row r="49" spans="1:31" s="78" customFormat="1" ht="39" x14ac:dyDescent="0.25">
      <c r="A49" s="74">
        <f t="shared" si="61"/>
        <v>23</v>
      </c>
      <c r="B49" s="83" t="s">
        <v>82</v>
      </c>
      <c r="C49" s="75" t="s">
        <v>81</v>
      </c>
      <c r="D49" s="117">
        <v>0.25</v>
      </c>
      <c r="E49" s="117">
        <v>0.25</v>
      </c>
      <c r="F49" s="118">
        <f t="shared" si="18"/>
        <v>0</v>
      </c>
      <c r="G49" s="117">
        <v>0</v>
      </c>
      <c r="H49" s="117">
        <v>0</v>
      </c>
      <c r="I49" s="117">
        <v>0</v>
      </c>
      <c r="J49" s="117">
        <v>0</v>
      </c>
      <c r="K49" s="117">
        <v>0</v>
      </c>
      <c r="L49" s="117">
        <v>0</v>
      </c>
      <c r="M49" s="117">
        <v>0</v>
      </c>
      <c r="N49" s="117">
        <v>0</v>
      </c>
      <c r="O49" s="119">
        <v>0</v>
      </c>
      <c r="P49" s="120">
        <f t="shared" si="63"/>
        <v>0</v>
      </c>
      <c r="Q49" s="121"/>
      <c r="R49" s="120">
        <f t="shared" si="19"/>
        <v>0.16666666666666666</v>
      </c>
      <c r="S49" s="120">
        <f t="shared" si="64"/>
        <v>-0.16666666666666666</v>
      </c>
      <c r="T49" s="121">
        <f t="shared" si="62"/>
        <v>0</v>
      </c>
      <c r="U49" s="121">
        <f t="shared" si="20"/>
        <v>0</v>
      </c>
      <c r="V49" s="118">
        <v>0</v>
      </c>
      <c r="W49" s="120">
        <f t="shared" si="65"/>
        <v>0</v>
      </c>
      <c r="X49" s="121"/>
    </row>
    <row r="50" spans="1:31" s="89" customFormat="1" ht="22.5" x14ac:dyDescent="0.3">
      <c r="A50" s="84"/>
      <c r="B50" s="85" t="s">
        <v>187</v>
      </c>
      <c r="C50" s="86"/>
      <c r="D50" s="86">
        <f>D7+D8+D9+D14+D22+D28+D29+D30+D31+D32+D33+D34+D37+D42+D43+D44+D45+D46+D47+D49+D48+D36</f>
        <v>4907395.4850000003</v>
      </c>
      <c r="E50" s="86">
        <f>E7+E8+E9+E14+E22+E28+E29+E30+E31+E32+E33+E34+E37+E42+E43+E44+E45+E46+E47+E49+E48+E36+E35</f>
        <v>5665331.5</v>
      </c>
      <c r="F50" s="86">
        <f t="shared" si="18"/>
        <v>3523029.4630000005</v>
      </c>
      <c r="G50" s="86">
        <f t="shared" ref="G50:I50" si="66">G7+G8+G9+G14+G22+G28+G29+G30+G31+G32+G33+G34+G37+G42+G43+G44+G45+G46+G47+G49+G48+G36+G35+G21</f>
        <v>409452.82699999999</v>
      </c>
      <c r="H50" s="86">
        <f t="shared" si="66"/>
        <v>431791.36000000004</v>
      </c>
      <c r="I50" s="86">
        <f t="shared" si="66"/>
        <v>401731.77299999987</v>
      </c>
      <c r="J50" s="86">
        <f>J7+J8+J9+J14+J22+J28+J29+J30+J31+J32+J33+J34+J37+J42+J43+J44+J45+J46+J47+J49+J48+J36+J35+J21</f>
        <v>453308.46799999994</v>
      </c>
      <c r="K50" s="86">
        <f>K7+K8+K9+K14+K22+K28+K29+K30+K31+K32+K33+K34+K37+K42+K43+K44+K45+K46+K47+K49+K48+K36+K35+K21</f>
        <v>447883.62200000015</v>
      </c>
      <c r="L50" s="86">
        <f>L7+L8+L9+L14+L22+L28+L29+L30+L31+L32+L33+L34+L37+L42+L43+L44+L45+L46+L47+L49+L48+L36+L35+L21</f>
        <v>448929.08400000015</v>
      </c>
      <c r="M50" s="86">
        <f>M7+M8+M9+M14+M22+M28+M29+M30+M31+M32+M33+M34+M37+M42+M43+M44+M45+M46+M47+M49+M48+M36+M35+M21</f>
        <v>477728.47100000014</v>
      </c>
      <c r="N50" s="86">
        <f>N7+N8+N9+N14+N22+N28+N29+N30+N31+N32+N33+N34+N37+N42+N43+N44+N45+N46+N47+N49+N48+N36+N35+N21</f>
        <v>452203.85799999995</v>
      </c>
      <c r="O50" s="86">
        <f>O7+O8+O9+O14+O22+O28+O29+O30+O31+O32+O33+O34+O37+O42+O43+O44+O45+O46+O47+O49+O48+O36+O35</f>
        <v>2602354.1749999998</v>
      </c>
      <c r="P50" s="87">
        <f t="shared" si="63"/>
        <v>920675.28800000064</v>
      </c>
      <c r="Q50" s="88">
        <f>F50/O50*100</f>
        <v>135.37855441986488</v>
      </c>
      <c r="R50" s="86">
        <f>R7+R8+R9+R14+R22+R28+R29+R30+R31+R32+R33+R34+R37+R42+R43+R44+R45+R46+R47+R49+R48+R36+R35</f>
        <v>3776887.666666666</v>
      </c>
      <c r="S50" s="87">
        <f t="shared" si="64"/>
        <v>-253858.20366666559</v>
      </c>
      <c r="T50" s="88">
        <f t="shared" si="62"/>
        <v>93.278640349642401</v>
      </c>
      <c r="U50" s="88">
        <f t="shared" si="20"/>
        <v>62.185760233094932</v>
      </c>
      <c r="V50" s="86">
        <f>V7+V8+V9+V14+V22+V28+V29+V30+V31+V32+V33+V34+V37+V42+V43+V44+V45+V46+V47+V49+V48+V36+V21</f>
        <v>2889063.1150000002</v>
      </c>
      <c r="W50" s="87">
        <f t="shared" si="65"/>
        <v>633966.34800000023</v>
      </c>
      <c r="X50" s="88">
        <f>F50/V50*100</f>
        <v>121.94366556786005</v>
      </c>
      <c r="Y50" s="90">
        <v>2889063.1150000002</v>
      </c>
      <c r="Z50" s="90">
        <f>Y50-V50</f>
        <v>0</v>
      </c>
      <c r="AC50" s="90" t="e">
        <f>#REF!-#REF!-#REF!</f>
        <v>#REF!</v>
      </c>
      <c r="AE50" s="89">
        <v>294547.38299999997</v>
      </c>
    </row>
    <row r="51" spans="1:31" s="10" customFormat="1" ht="78" x14ac:dyDescent="0.25">
      <c r="A51" s="24">
        <v>1</v>
      </c>
      <c r="B51" s="172" t="s">
        <v>163</v>
      </c>
      <c r="C51" s="148" t="s">
        <v>160</v>
      </c>
      <c r="D51" s="127">
        <v>0</v>
      </c>
      <c r="E51" s="127">
        <v>10995.7</v>
      </c>
      <c r="F51" s="118">
        <f t="shared" si="18"/>
        <v>7330.4000000000005</v>
      </c>
      <c r="G51" s="117">
        <v>0</v>
      </c>
      <c r="H51" s="117">
        <v>0</v>
      </c>
      <c r="I51" s="117">
        <v>2748.9</v>
      </c>
      <c r="J51" s="117">
        <v>916.3</v>
      </c>
      <c r="K51" s="117">
        <v>916.3</v>
      </c>
      <c r="L51" s="117">
        <v>916.3</v>
      </c>
      <c r="M51" s="117">
        <v>916.3</v>
      </c>
      <c r="N51" s="117">
        <v>916.3</v>
      </c>
      <c r="O51" s="117">
        <v>7330.4</v>
      </c>
      <c r="P51" s="120">
        <f t="shared" ref="P51" si="67">F51-O51</f>
        <v>0</v>
      </c>
      <c r="Q51" s="121">
        <f>F51/O51*100</f>
        <v>100.00000000000003</v>
      </c>
      <c r="R51" s="117">
        <f>O51</f>
        <v>7330.4</v>
      </c>
      <c r="S51" s="120">
        <f t="shared" ref="S51" si="68">F51-R51</f>
        <v>0</v>
      </c>
      <c r="T51" s="121">
        <f>F51/R51*100</f>
        <v>100.00000000000003</v>
      </c>
      <c r="U51" s="121">
        <f t="shared" ref="U51" si="69">F51/E51*100</f>
        <v>66.666060369053355</v>
      </c>
      <c r="V51" s="118">
        <v>0</v>
      </c>
      <c r="W51" s="120">
        <f t="shared" si="65"/>
        <v>7330.4000000000005</v>
      </c>
      <c r="X51" s="121"/>
      <c r="Y51" s="44"/>
      <c r="Z51" s="44"/>
      <c r="AA51" s="44"/>
      <c r="AB51" s="46"/>
    </row>
    <row r="52" spans="1:31" s="10" customFormat="1" ht="23.25" x14ac:dyDescent="0.25">
      <c r="A52" s="24">
        <f>A51+1</f>
        <v>2</v>
      </c>
      <c r="B52" s="60" t="s">
        <v>165</v>
      </c>
      <c r="C52" s="25" t="s">
        <v>55</v>
      </c>
      <c r="D52" s="127">
        <v>0</v>
      </c>
      <c r="E52" s="127">
        <v>743512.7</v>
      </c>
      <c r="F52" s="118">
        <f t="shared" si="18"/>
        <v>512601.50000000006</v>
      </c>
      <c r="G52" s="117">
        <v>58102.400000000001</v>
      </c>
      <c r="H52" s="117">
        <v>58123.4</v>
      </c>
      <c r="I52" s="117">
        <v>58121.9</v>
      </c>
      <c r="J52" s="117">
        <v>58111.7</v>
      </c>
      <c r="K52" s="117">
        <v>74506.399999999994</v>
      </c>
      <c r="L52" s="117">
        <v>149014.70000000001</v>
      </c>
      <c r="M52" s="117">
        <v>28310.9</v>
      </c>
      <c r="N52" s="117">
        <v>28310.1</v>
      </c>
      <c r="O52" s="117">
        <v>512601.5</v>
      </c>
      <c r="P52" s="120">
        <f t="shared" si="63"/>
        <v>0</v>
      </c>
      <c r="Q52" s="121">
        <f>F52/O52*100</f>
        <v>100.00000000000003</v>
      </c>
      <c r="R52" s="117">
        <f t="shared" ref="R52:R66" si="70">O52</f>
        <v>512601.5</v>
      </c>
      <c r="S52" s="120">
        <f t="shared" si="64"/>
        <v>0</v>
      </c>
      <c r="T52" s="121">
        <f>F52/R52*100</f>
        <v>100.00000000000003</v>
      </c>
      <c r="U52" s="121">
        <f t="shared" si="20"/>
        <v>68.943207022556578</v>
      </c>
      <c r="V52" s="118">
        <v>537384.80000000005</v>
      </c>
      <c r="W52" s="120">
        <f t="shared" si="65"/>
        <v>-24783.299999999988</v>
      </c>
      <c r="X52" s="121">
        <f>F52/V52*100</f>
        <v>95.388165054166024</v>
      </c>
      <c r="Y52" s="44"/>
      <c r="Z52" s="44"/>
      <c r="AA52" s="44"/>
      <c r="AB52" s="46"/>
    </row>
    <row r="53" spans="1:31" s="10" customFormat="1" ht="58.5" x14ac:dyDescent="0.25">
      <c r="A53" s="24">
        <f t="shared" ref="A53:A62" si="71">A52+1</f>
        <v>3</v>
      </c>
      <c r="B53" s="172" t="s">
        <v>166</v>
      </c>
      <c r="C53" s="148" t="s">
        <v>107</v>
      </c>
      <c r="D53" s="127">
        <v>0</v>
      </c>
      <c r="E53" s="127">
        <v>0</v>
      </c>
      <c r="F53" s="118">
        <f t="shared" si="18"/>
        <v>0</v>
      </c>
      <c r="G53" s="117">
        <v>0</v>
      </c>
      <c r="H53" s="117">
        <v>0</v>
      </c>
      <c r="I53" s="117">
        <v>0</v>
      </c>
      <c r="J53" s="117">
        <v>0</v>
      </c>
      <c r="K53" s="117">
        <v>0</v>
      </c>
      <c r="L53" s="117">
        <v>0</v>
      </c>
      <c r="M53" s="117">
        <v>0</v>
      </c>
      <c r="N53" s="117">
        <v>0</v>
      </c>
      <c r="O53" s="117">
        <v>0</v>
      </c>
      <c r="P53" s="120">
        <f t="shared" si="63"/>
        <v>0</v>
      </c>
      <c r="Q53" s="121"/>
      <c r="R53" s="117">
        <f t="shared" ref="R53:R57" si="72">O53</f>
        <v>0</v>
      </c>
      <c r="S53" s="120">
        <f t="shared" ref="S53:S57" si="73">F53-R53</f>
        <v>0</v>
      </c>
      <c r="T53" s="121"/>
      <c r="U53" s="121"/>
      <c r="V53" s="118">
        <v>19333.600000000002</v>
      </c>
      <c r="W53" s="120">
        <f t="shared" ref="W53:W57" si="74">F53-V53</f>
        <v>-19333.600000000002</v>
      </c>
      <c r="X53" s="121"/>
      <c r="Y53" s="44"/>
      <c r="Z53" s="44"/>
      <c r="AA53" s="44"/>
      <c r="AB53" s="46"/>
    </row>
    <row r="54" spans="1:31" s="10" customFormat="1" ht="23.25" x14ac:dyDescent="0.25">
      <c r="A54" s="24">
        <f t="shared" si="71"/>
        <v>4</v>
      </c>
      <c r="B54" s="172" t="s">
        <v>178</v>
      </c>
      <c r="C54" s="148" t="s">
        <v>177</v>
      </c>
      <c r="D54" s="127">
        <v>0</v>
      </c>
      <c r="E54" s="127">
        <v>3201.0839999999998</v>
      </c>
      <c r="F54" s="118">
        <f t="shared" si="18"/>
        <v>3201.0839999999998</v>
      </c>
      <c r="G54" s="117">
        <v>0</v>
      </c>
      <c r="H54" s="117">
        <v>0</v>
      </c>
      <c r="I54" s="117">
        <v>0</v>
      </c>
      <c r="J54" s="117">
        <v>0</v>
      </c>
      <c r="K54" s="117">
        <v>0</v>
      </c>
      <c r="L54" s="117">
        <v>3201.0839999999998</v>
      </c>
      <c r="M54" s="117">
        <v>0</v>
      </c>
      <c r="N54" s="117">
        <v>0</v>
      </c>
      <c r="O54" s="117">
        <v>3201.0839999999998</v>
      </c>
      <c r="P54" s="120">
        <f t="shared" si="63"/>
        <v>0</v>
      </c>
      <c r="Q54" s="121">
        <f t="shared" ref="Q54:Q61" si="75">F54/O54*100</f>
        <v>100</v>
      </c>
      <c r="R54" s="117">
        <f t="shared" si="72"/>
        <v>3201.0839999999998</v>
      </c>
      <c r="S54" s="120">
        <f t="shared" si="73"/>
        <v>0</v>
      </c>
      <c r="T54" s="121">
        <f t="shared" ref="T54:T61" si="76">F54/R54*100</f>
        <v>100</v>
      </c>
      <c r="U54" s="121">
        <f t="shared" ref="U54:U57" si="77">F54/E54*100</f>
        <v>100</v>
      </c>
      <c r="V54" s="118">
        <v>4094.6220000000003</v>
      </c>
      <c r="W54" s="120">
        <f t="shared" si="74"/>
        <v>-893.53800000000047</v>
      </c>
      <c r="X54" s="121">
        <f>F54/V54*100</f>
        <v>78.177765859705715</v>
      </c>
      <c r="Y54" s="44"/>
      <c r="Z54" s="44"/>
      <c r="AA54" s="44"/>
      <c r="AB54" s="46"/>
    </row>
    <row r="55" spans="1:31" s="10" customFormat="1" ht="312" x14ac:dyDescent="0.25">
      <c r="A55" s="24">
        <f t="shared" si="71"/>
        <v>5</v>
      </c>
      <c r="B55" s="172" t="s">
        <v>191</v>
      </c>
      <c r="C55" s="148">
        <v>41050400</v>
      </c>
      <c r="D55" s="127">
        <v>0</v>
      </c>
      <c r="E55" s="127">
        <v>25812.348999999998</v>
      </c>
      <c r="F55" s="118">
        <f t="shared" si="18"/>
        <v>25812.348999999998</v>
      </c>
      <c r="G55" s="117">
        <v>0</v>
      </c>
      <c r="H55" s="117">
        <v>0</v>
      </c>
      <c r="I55" s="117">
        <v>0</v>
      </c>
      <c r="J55" s="117">
        <v>0</v>
      </c>
      <c r="K55" s="117">
        <v>0</v>
      </c>
      <c r="L55" s="117">
        <v>0</v>
      </c>
      <c r="M55" s="117">
        <v>25812.348999999998</v>
      </c>
      <c r="N55" s="117">
        <v>0</v>
      </c>
      <c r="O55" s="117">
        <v>25812.348999999998</v>
      </c>
      <c r="P55" s="120">
        <f t="shared" si="63"/>
        <v>0</v>
      </c>
      <c r="Q55" s="121">
        <f t="shared" si="75"/>
        <v>100</v>
      </c>
      <c r="R55" s="117">
        <f t="shared" si="72"/>
        <v>25812.348999999998</v>
      </c>
      <c r="S55" s="120">
        <f t="shared" si="73"/>
        <v>0</v>
      </c>
      <c r="T55" s="121">
        <f t="shared" si="76"/>
        <v>100</v>
      </c>
      <c r="U55" s="121">
        <f t="shared" si="77"/>
        <v>100</v>
      </c>
      <c r="V55" s="118">
        <v>0</v>
      </c>
      <c r="W55" s="120">
        <f t="shared" si="74"/>
        <v>25812.348999999998</v>
      </c>
      <c r="X55" s="121"/>
      <c r="Y55" s="44"/>
      <c r="Z55" s="44"/>
      <c r="AA55" s="44"/>
      <c r="AB55" s="46"/>
    </row>
    <row r="56" spans="1:31" s="10" customFormat="1" ht="214.5" x14ac:dyDescent="0.25">
      <c r="A56" s="24">
        <f t="shared" si="71"/>
        <v>6</v>
      </c>
      <c r="B56" s="172" t="s">
        <v>192</v>
      </c>
      <c r="C56" s="148">
        <v>41050500</v>
      </c>
      <c r="D56" s="127">
        <v>0</v>
      </c>
      <c r="E56" s="127">
        <v>9265.4719999999998</v>
      </c>
      <c r="F56" s="118">
        <f t="shared" si="18"/>
        <v>9265.4719999999998</v>
      </c>
      <c r="G56" s="117">
        <v>0</v>
      </c>
      <c r="H56" s="117">
        <v>0</v>
      </c>
      <c r="I56" s="117">
        <v>0</v>
      </c>
      <c r="J56" s="117">
        <v>0</v>
      </c>
      <c r="K56" s="117">
        <v>0</v>
      </c>
      <c r="L56" s="117">
        <v>0</v>
      </c>
      <c r="M56" s="117">
        <v>9265.4719999999998</v>
      </c>
      <c r="N56" s="117">
        <v>0</v>
      </c>
      <c r="O56" s="117">
        <v>9265.4719999999998</v>
      </c>
      <c r="P56" s="120">
        <f t="shared" si="63"/>
        <v>0</v>
      </c>
      <c r="Q56" s="121">
        <f t="shared" si="75"/>
        <v>100</v>
      </c>
      <c r="R56" s="117">
        <f t="shared" si="72"/>
        <v>9265.4719999999998</v>
      </c>
      <c r="S56" s="120">
        <f t="shared" si="73"/>
        <v>0</v>
      </c>
      <c r="T56" s="121">
        <f t="shared" si="76"/>
        <v>100</v>
      </c>
      <c r="U56" s="121">
        <f t="shared" si="77"/>
        <v>100</v>
      </c>
      <c r="V56" s="118">
        <v>0</v>
      </c>
      <c r="W56" s="120">
        <f t="shared" si="74"/>
        <v>9265.4719999999998</v>
      </c>
      <c r="X56" s="121"/>
      <c r="Y56" s="44"/>
      <c r="Z56" s="44"/>
      <c r="AA56" s="44"/>
      <c r="AB56" s="46"/>
    </row>
    <row r="57" spans="1:31" s="10" customFormat="1" ht="292.5" x14ac:dyDescent="0.25">
      <c r="A57" s="24">
        <f t="shared" si="71"/>
        <v>7</v>
      </c>
      <c r="B57" s="172" t="s">
        <v>193</v>
      </c>
      <c r="C57" s="148">
        <v>41050600</v>
      </c>
      <c r="D57" s="127">
        <v>0</v>
      </c>
      <c r="E57" s="127">
        <v>23144.884999999998</v>
      </c>
      <c r="F57" s="118">
        <f t="shared" si="18"/>
        <v>23144.884999999998</v>
      </c>
      <c r="G57" s="117">
        <v>0</v>
      </c>
      <c r="H57" s="117">
        <v>0</v>
      </c>
      <c r="I57" s="117">
        <v>0</v>
      </c>
      <c r="J57" s="117">
        <v>0</v>
      </c>
      <c r="K57" s="117">
        <v>0</v>
      </c>
      <c r="L57" s="117">
        <v>0</v>
      </c>
      <c r="M57" s="117">
        <v>23144.884999999998</v>
      </c>
      <c r="N57" s="117">
        <v>0</v>
      </c>
      <c r="O57" s="117">
        <v>23144.884999999998</v>
      </c>
      <c r="P57" s="120">
        <f t="shared" si="63"/>
        <v>0</v>
      </c>
      <c r="Q57" s="121">
        <f t="shared" si="75"/>
        <v>100</v>
      </c>
      <c r="R57" s="117">
        <f t="shared" si="72"/>
        <v>23144.884999999998</v>
      </c>
      <c r="S57" s="120">
        <f t="shared" si="73"/>
        <v>0</v>
      </c>
      <c r="T57" s="121">
        <f t="shared" si="76"/>
        <v>100</v>
      </c>
      <c r="U57" s="121">
        <f t="shared" si="77"/>
        <v>100</v>
      </c>
      <c r="V57" s="118">
        <v>0</v>
      </c>
      <c r="W57" s="120">
        <f t="shared" si="74"/>
        <v>23144.884999999998</v>
      </c>
      <c r="X57" s="121"/>
      <c r="Y57" s="44"/>
      <c r="Z57" s="44"/>
      <c r="AA57" s="44"/>
      <c r="AB57" s="46"/>
    </row>
    <row r="58" spans="1:31" s="10" customFormat="1" ht="39" x14ac:dyDescent="0.25">
      <c r="A58" s="24">
        <f t="shared" si="71"/>
        <v>8</v>
      </c>
      <c r="B58" s="172" t="s">
        <v>167</v>
      </c>
      <c r="C58" s="148" t="s">
        <v>116</v>
      </c>
      <c r="D58" s="127">
        <v>0</v>
      </c>
      <c r="E58" s="127">
        <v>17419.900000000001</v>
      </c>
      <c r="F58" s="118">
        <f t="shared" si="18"/>
        <v>12026.433999999999</v>
      </c>
      <c r="G58" s="117">
        <v>1367.232</v>
      </c>
      <c r="H58" s="117">
        <v>1367.7239999999999</v>
      </c>
      <c r="I58" s="117">
        <v>1367.6890000000001</v>
      </c>
      <c r="J58" s="117">
        <v>1367.451</v>
      </c>
      <c r="K58" s="117">
        <v>1753.242</v>
      </c>
      <c r="L58" s="117">
        <v>3480.5839999999998</v>
      </c>
      <c r="M58" s="117">
        <v>661.26599999999996</v>
      </c>
      <c r="N58" s="117">
        <v>661.24599999999998</v>
      </c>
      <c r="O58" s="119">
        <v>12026.433999999999</v>
      </c>
      <c r="P58" s="120">
        <f t="shared" si="63"/>
        <v>0</v>
      </c>
      <c r="Q58" s="121">
        <f t="shared" si="75"/>
        <v>100</v>
      </c>
      <c r="R58" s="117">
        <f t="shared" si="70"/>
        <v>12026.433999999999</v>
      </c>
      <c r="S58" s="120">
        <f t="shared" si="64"/>
        <v>0</v>
      </c>
      <c r="T58" s="121">
        <f t="shared" si="76"/>
        <v>100</v>
      </c>
      <c r="U58" s="121">
        <f t="shared" si="20"/>
        <v>69.038478980935594</v>
      </c>
      <c r="V58" s="118">
        <v>9953.8419999999987</v>
      </c>
      <c r="W58" s="120">
        <f t="shared" si="65"/>
        <v>2072.5920000000006</v>
      </c>
      <c r="X58" s="121">
        <f>F58/V58*100</f>
        <v>120.82203032758608</v>
      </c>
    </row>
    <row r="59" spans="1:31" s="10" customFormat="1" ht="58.5" x14ac:dyDescent="0.25">
      <c r="A59" s="24">
        <f t="shared" si="71"/>
        <v>9</v>
      </c>
      <c r="B59" s="172" t="s">
        <v>168</v>
      </c>
      <c r="C59" s="148">
        <v>41051200</v>
      </c>
      <c r="D59" s="127">
        <v>0</v>
      </c>
      <c r="E59" s="127">
        <v>2613.9</v>
      </c>
      <c r="F59" s="118">
        <f t="shared" si="18"/>
        <v>1742.5440000000001</v>
      </c>
      <c r="G59" s="117">
        <v>217.81800000000001</v>
      </c>
      <c r="H59" s="117">
        <v>217.81800000000001</v>
      </c>
      <c r="I59" s="117">
        <v>217.81800000000001</v>
      </c>
      <c r="J59" s="117">
        <v>217.81800000000001</v>
      </c>
      <c r="K59" s="117">
        <v>217.81800000000001</v>
      </c>
      <c r="L59" s="117">
        <v>217.81800000000001</v>
      </c>
      <c r="M59" s="117">
        <v>217.81800000000001</v>
      </c>
      <c r="N59" s="117">
        <v>217.81800000000001</v>
      </c>
      <c r="O59" s="119">
        <v>1742.5440000000001</v>
      </c>
      <c r="P59" s="120">
        <f t="shared" si="63"/>
        <v>0</v>
      </c>
      <c r="Q59" s="121">
        <f t="shared" si="75"/>
        <v>100</v>
      </c>
      <c r="R59" s="117">
        <f t="shared" si="70"/>
        <v>1742.5440000000001</v>
      </c>
      <c r="S59" s="120">
        <f t="shared" si="64"/>
        <v>0</v>
      </c>
      <c r="T59" s="121">
        <f t="shared" si="76"/>
        <v>100</v>
      </c>
      <c r="U59" s="121">
        <f t="shared" si="20"/>
        <v>66.664524274073216</v>
      </c>
      <c r="V59" s="118">
        <v>2003.8160000000003</v>
      </c>
      <c r="W59" s="120">
        <f t="shared" si="65"/>
        <v>-261.27200000000016</v>
      </c>
      <c r="X59" s="121">
        <f>F59/V59*100</f>
        <v>86.961277881801507</v>
      </c>
    </row>
    <row r="60" spans="1:31" s="10" customFormat="1" ht="58.5" x14ac:dyDescent="0.25">
      <c r="A60" s="24">
        <f t="shared" si="71"/>
        <v>10</v>
      </c>
      <c r="B60" s="172" t="s">
        <v>164</v>
      </c>
      <c r="C60" s="148" t="s">
        <v>161</v>
      </c>
      <c r="D60" s="127">
        <v>0</v>
      </c>
      <c r="E60" s="127">
        <v>2073.1129999999998</v>
      </c>
      <c r="F60" s="118">
        <f t="shared" si="18"/>
        <v>2073.1129999999998</v>
      </c>
      <c r="G60" s="117">
        <v>0</v>
      </c>
      <c r="H60" s="117">
        <v>0</v>
      </c>
      <c r="I60" s="117">
        <v>2073.1129999999998</v>
      </c>
      <c r="J60" s="117">
        <v>0</v>
      </c>
      <c r="K60" s="117">
        <v>0</v>
      </c>
      <c r="L60" s="117">
        <v>0</v>
      </c>
      <c r="M60" s="117">
        <v>0</v>
      </c>
      <c r="N60" s="117">
        <v>0</v>
      </c>
      <c r="O60" s="119">
        <v>2073.1129999999998</v>
      </c>
      <c r="P60" s="120">
        <f t="shared" ref="P60:P61" si="78">F60-O60</f>
        <v>0</v>
      </c>
      <c r="Q60" s="121">
        <f t="shared" si="75"/>
        <v>100</v>
      </c>
      <c r="R60" s="117">
        <f t="shared" si="70"/>
        <v>2073.1129999999998</v>
      </c>
      <c r="S60" s="120">
        <f t="shared" ref="S60:S61" si="79">F60-R60</f>
        <v>0</v>
      </c>
      <c r="T60" s="121">
        <f t="shared" si="76"/>
        <v>100</v>
      </c>
      <c r="U60" s="121">
        <f t="shared" ref="U60:U61" si="80">F60/E60*100</f>
        <v>100</v>
      </c>
      <c r="V60" s="118">
        <v>0</v>
      </c>
      <c r="W60" s="120">
        <f t="shared" si="65"/>
        <v>2073.1129999999998</v>
      </c>
      <c r="X60" s="121"/>
    </row>
    <row r="61" spans="1:31" s="10" customFormat="1" ht="58.5" x14ac:dyDescent="0.25">
      <c r="A61" s="24">
        <f t="shared" si="71"/>
        <v>11</v>
      </c>
      <c r="B61" s="172" t="s">
        <v>195</v>
      </c>
      <c r="C61" s="148" t="s">
        <v>194</v>
      </c>
      <c r="D61" s="127">
        <v>0</v>
      </c>
      <c r="E61" s="127">
        <v>3588.9</v>
      </c>
      <c r="F61" s="118">
        <f t="shared" si="18"/>
        <v>3588.8999999999996</v>
      </c>
      <c r="G61" s="117">
        <v>0</v>
      </c>
      <c r="H61" s="117">
        <v>0</v>
      </c>
      <c r="I61" s="117">
        <v>0</v>
      </c>
      <c r="J61" s="117">
        <v>0</v>
      </c>
      <c r="K61" s="117">
        <v>0</v>
      </c>
      <c r="L61" s="117">
        <v>0</v>
      </c>
      <c r="M61" s="117">
        <v>2871.12</v>
      </c>
      <c r="N61" s="117">
        <v>717.78</v>
      </c>
      <c r="O61" s="119">
        <v>3588.9</v>
      </c>
      <c r="P61" s="120">
        <f t="shared" si="78"/>
        <v>0</v>
      </c>
      <c r="Q61" s="121">
        <f t="shared" si="75"/>
        <v>99.999999999999986</v>
      </c>
      <c r="R61" s="117">
        <f t="shared" si="70"/>
        <v>3588.9</v>
      </c>
      <c r="S61" s="120">
        <f t="shared" si="79"/>
        <v>0</v>
      </c>
      <c r="T61" s="121">
        <f t="shared" si="76"/>
        <v>99.999999999999986</v>
      </c>
      <c r="U61" s="121">
        <f t="shared" si="80"/>
        <v>99.999999999999986</v>
      </c>
      <c r="V61" s="118">
        <v>0</v>
      </c>
      <c r="W61" s="120">
        <f t="shared" si="65"/>
        <v>3588.8999999999996</v>
      </c>
      <c r="X61" s="121"/>
    </row>
    <row r="62" spans="1:31" s="10" customFormat="1" ht="23.25" x14ac:dyDescent="0.25">
      <c r="A62" s="24">
        <f t="shared" si="71"/>
        <v>12</v>
      </c>
      <c r="B62" s="173" t="s">
        <v>169</v>
      </c>
      <c r="C62" s="148" t="s">
        <v>108</v>
      </c>
      <c r="D62" s="127">
        <f>SUM(D63:D67)</f>
        <v>4144</v>
      </c>
      <c r="E62" s="127">
        <f>SUM(E63:E67)</f>
        <v>5010.6360000000004</v>
      </c>
      <c r="F62" s="118">
        <f t="shared" si="18"/>
        <v>4461.1130000000003</v>
      </c>
      <c r="G62" s="117">
        <f t="shared" ref="G62:K62" si="81">SUM(G63:G66)</f>
        <v>0</v>
      </c>
      <c r="H62" s="117">
        <f t="shared" si="81"/>
        <v>175.19400000000002</v>
      </c>
      <c r="I62" s="117">
        <f t="shared" si="81"/>
        <v>372.44399999999996</v>
      </c>
      <c r="J62" s="117">
        <f t="shared" si="81"/>
        <v>738.52100000000007</v>
      </c>
      <c r="K62" s="117">
        <f t="shared" si="81"/>
        <v>282.16399999999999</v>
      </c>
      <c r="L62" s="117">
        <f>SUM(L63:L67)</f>
        <v>1076.9830000000002</v>
      </c>
      <c r="M62" s="117">
        <f>SUM(M63:M67)</f>
        <v>1663.41</v>
      </c>
      <c r="N62" s="117">
        <f>SUM(N63:N67)</f>
        <v>152.39699999999999</v>
      </c>
      <c r="O62" s="117">
        <f>SUM(O63:O67)</f>
        <v>4598.1869999999999</v>
      </c>
      <c r="P62" s="120">
        <f t="shared" si="63"/>
        <v>-137.07399999999961</v>
      </c>
      <c r="Q62" s="121">
        <f t="shared" ref="Q62:Q66" si="82">F62/O62*100</f>
        <v>97.018955514423411</v>
      </c>
      <c r="R62" s="117">
        <f t="shared" si="70"/>
        <v>4598.1869999999999</v>
      </c>
      <c r="S62" s="120">
        <f t="shared" si="64"/>
        <v>-137.07399999999961</v>
      </c>
      <c r="T62" s="121">
        <f t="shared" ref="T62:T66" si="83">F62/R62*100</f>
        <v>97.018955514423411</v>
      </c>
      <c r="U62" s="121">
        <f t="shared" si="20"/>
        <v>89.032869280466585</v>
      </c>
      <c r="V62" s="118">
        <f>SUM(V63:V66)</f>
        <v>1771.923</v>
      </c>
      <c r="W62" s="120">
        <f t="shared" si="65"/>
        <v>2689.1900000000005</v>
      </c>
      <c r="X62" s="121">
        <f t="shared" ref="X62:X66" si="84">F62/V62*100</f>
        <v>251.76675284422632</v>
      </c>
      <c r="Y62" s="118">
        <v>5098.8379999999997</v>
      </c>
      <c r="Z62" s="118">
        <f>Y62-V62</f>
        <v>3326.915</v>
      </c>
    </row>
    <row r="63" spans="1:31" s="43" customFormat="1" ht="39" x14ac:dyDescent="0.25">
      <c r="A63" s="42" t="s">
        <v>196</v>
      </c>
      <c r="B63" s="174" t="s">
        <v>170</v>
      </c>
      <c r="C63" s="104"/>
      <c r="D63" s="128">
        <v>105</v>
      </c>
      <c r="E63" s="128">
        <v>105</v>
      </c>
      <c r="F63" s="123">
        <f t="shared" si="18"/>
        <v>19.766000000000002</v>
      </c>
      <c r="G63" s="122">
        <v>0</v>
      </c>
      <c r="H63" s="122">
        <v>6.0490000000000004</v>
      </c>
      <c r="I63" s="122">
        <v>0</v>
      </c>
      <c r="J63" s="122">
        <v>6.9720000000000004</v>
      </c>
      <c r="K63" s="122">
        <v>3.4540000000000002</v>
      </c>
      <c r="L63" s="122">
        <v>3.2909999999999999</v>
      </c>
      <c r="M63" s="122">
        <v>0</v>
      </c>
      <c r="N63" s="122">
        <v>0</v>
      </c>
      <c r="O63" s="124">
        <v>59.415999999999997</v>
      </c>
      <c r="P63" s="125">
        <f t="shared" si="63"/>
        <v>-39.649999999999991</v>
      </c>
      <c r="Q63" s="126">
        <f t="shared" si="82"/>
        <v>33.267133432072171</v>
      </c>
      <c r="R63" s="122">
        <f t="shared" si="70"/>
        <v>59.415999999999997</v>
      </c>
      <c r="S63" s="125">
        <f t="shared" si="64"/>
        <v>-39.649999999999991</v>
      </c>
      <c r="T63" s="126">
        <f t="shared" si="83"/>
        <v>33.267133432072171</v>
      </c>
      <c r="U63" s="126">
        <f t="shared" si="20"/>
        <v>18.824761904761907</v>
      </c>
      <c r="V63" s="123">
        <v>37.786000000000001</v>
      </c>
      <c r="W63" s="125">
        <f t="shared" si="65"/>
        <v>-18.02</v>
      </c>
      <c r="X63" s="126">
        <f t="shared" si="84"/>
        <v>52.310379505637009</v>
      </c>
    </row>
    <row r="64" spans="1:31" s="43" customFormat="1" ht="39" x14ac:dyDescent="0.25">
      <c r="A64" s="42" t="s">
        <v>197</v>
      </c>
      <c r="B64" s="174" t="s">
        <v>171</v>
      </c>
      <c r="C64" s="104"/>
      <c r="D64" s="128">
        <v>1246.7</v>
      </c>
      <c r="E64" s="128">
        <v>1246.7</v>
      </c>
      <c r="F64" s="123">
        <f t="shared" si="18"/>
        <v>928.57499999999993</v>
      </c>
      <c r="G64" s="122">
        <v>0</v>
      </c>
      <c r="H64" s="122">
        <v>169.14500000000001</v>
      </c>
      <c r="I64" s="122">
        <v>226.30799999999999</v>
      </c>
      <c r="J64" s="122">
        <v>79.358000000000004</v>
      </c>
      <c r="K64" s="122">
        <v>92.965000000000003</v>
      </c>
      <c r="L64" s="122">
        <v>81.823999999999998</v>
      </c>
      <c r="M64" s="122">
        <v>158.679</v>
      </c>
      <c r="N64" s="122">
        <v>120.29600000000001</v>
      </c>
      <c r="O64" s="124">
        <v>928.57500000000005</v>
      </c>
      <c r="P64" s="125">
        <f t="shared" si="63"/>
        <v>0</v>
      </c>
      <c r="Q64" s="126">
        <f t="shared" si="82"/>
        <v>99.999999999999986</v>
      </c>
      <c r="R64" s="122">
        <f t="shared" si="70"/>
        <v>928.57500000000005</v>
      </c>
      <c r="S64" s="125">
        <f t="shared" si="64"/>
        <v>0</v>
      </c>
      <c r="T64" s="126">
        <f t="shared" si="83"/>
        <v>99.999999999999986</v>
      </c>
      <c r="U64" s="126">
        <f t="shared" si="20"/>
        <v>74.482634154166988</v>
      </c>
      <c r="V64" s="123">
        <v>665.04000000000008</v>
      </c>
      <c r="W64" s="125">
        <f t="shared" si="65"/>
        <v>263.53499999999985</v>
      </c>
      <c r="X64" s="126">
        <f t="shared" si="84"/>
        <v>139.62693973294839</v>
      </c>
    </row>
    <row r="65" spans="1:29" s="43" customFormat="1" ht="58.5" x14ac:dyDescent="0.25">
      <c r="A65" s="42" t="s">
        <v>198</v>
      </c>
      <c r="B65" s="174" t="s">
        <v>172</v>
      </c>
      <c r="C65" s="104"/>
      <c r="D65" s="128">
        <v>292.3</v>
      </c>
      <c r="E65" s="128">
        <v>292.3</v>
      </c>
      <c r="F65" s="123">
        <f t="shared" si="18"/>
        <v>146.136</v>
      </c>
      <c r="G65" s="122">
        <v>0</v>
      </c>
      <c r="H65" s="122">
        <v>0</v>
      </c>
      <c r="I65" s="122">
        <v>146.136</v>
      </c>
      <c r="J65" s="122">
        <v>0</v>
      </c>
      <c r="K65" s="122">
        <v>0</v>
      </c>
      <c r="L65" s="122"/>
      <c r="M65" s="122">
        <v>0</v>
      </c>
      <c r="N65" s="122">
        <v>0</v>
      </c>
      <c r="O65" s="124">
        <v>243.56</v>
      </c>
      <c r="P65" s="125">
        <f t="shared" si="63"/>
        <v>-97.424000000000007</v>
      </c>
      <c r="Q65" s="126">
        <f t="shared" si="82"/>
        <v>60</v>
      </c>
      <c r="R65" s="122">
        <f t="shared" si="70"/>
        <v>243.56</v>
      </c>
      <c r="S65" s="125">
        <f t="shared" si="64"/>
        <v>-97.424000000000007</v>
      </c>
      <c r="T65" s="126">
        <f t="shared" si="83"/>
        <v>60</v>
      </c>
      <c r="U65" s="126">
        <f t="shared" si="20"/>
        <v>49.995210400273685</v>
      </c>
      <c r="V65" s="123">
        <v>146.136</v>
      </c>
      <c r="W65" s="125">
        <f t="shared" si="65"/>
        <v>0</v>
      </c>
      <c r="X65" s="126">
        <f t="shared" si="84"/>
        <v>100</v>
      </c>
    </row>
    <row r="66" spans="1:29" s="43" customFormat="1" ht="58.5" x14ac:dyDescent="0.25">
      <c r="A66" s="42" t="s">
        <v>199</v>
      </c>
      <c r="B66" s="174" t="s">
        <v>173</v>
      </c>
      <c r="C66" s="104"/>
      <c r="D66" s="128">
        <v>2500</v>
      </c>
      <c r="E66" s="128">
        <v>2500</v>
      </c>
      <c r="F66" s="123">
        <f t="shared" si="18"/>
        <v>2500.0000000000005</v>
      </c>
      <c r="G66" s="122">
        <v>0</v>
      </c>
      <c r="H66" s="122">
        <v>0</v>
      </c>
      <c r="I66" s="122">
        <v>0</v>
      </c>
      <c r="J66" s="122">
        <v>652.19100000000003</v>
      </c>
      <c r="K66" s="122">
        <v>185.745</v>
      </c>
      <c r="L66" s="122">
        <v>303.77300000000002</v>
      </c>
      <c r="M66" s="122">
        <v>1326.19</v>
      </c>
      <c r="N66" s="122">
        <v>32.100999999999999</v>
      </c>
      <c r="O66" s="124">
        <v>2500</v>
      </c>
      <c r="P66" s="125">
        <f t="shared" si="63"/>
        <v>0</v>
      </c>
      <c r="Q66" s="126">
        <f t="shared" si="82"/>
        <v>100.00000000000003</v>
      </c>
      <c r="R66" s="122">
        <f t="shared" si="70"/>
        <v>2500</v>
      </c>
      <c r="S66" s="125">
        <f t="shared" si="64"/>
        <v>0</v>
      </c>
      <c r="T66" s="126">
        <f t="shared" si="83"/>
        <v>100.00000000000003</v>
      </c>
      <c r="U66" s="126">
        <f t="shared" si="20"/>
        <v>100.00000000000003</v>
      </c>
      <c r="V66" s="123">
        <v>922.96100000000001</v>
      </c>
      <c r="W66" s="125">
        <f t="shared" si="65"/>
        <v>1577.0390000000004</v>
      </c>
      <c r="X66" s="126">
        <f t="shared" si="84"/>
        <v>270.86734975800715</v>
      </c>
    </row>
    <row r="67" spans="1:29" s="43" customFormat="1" ht="58.5" x14ac:dyDescent="0.25">
      <c r="A67" s="42" t="s">
        <v>200</v>
      </c>
      <c r="B67" s="174" t="s">
        <v>185</v>
      </c>
      <c r="C67" s="104"/>
      <c r="D67" s="128">
        <v>0</v>
      </c>
      <c r="E67" s="128">
        <f>688.095+178.541</f>
        <v>866.63599999999997</v>
      </c>
      <c r="F67" s="123">
        <f>SUM(G67:N67)</f>
        <v>866.63599999999997</v>
      </c>
      <c r="G67" s="122">
        <v>0</v>
      </c>
      <c r="H67" s="122">
        <v>0</v>
      </c>
      <c r="I67" s="122">
        <v>0</v>
      </c>
      <c r="J67" s="122">
        <v>0</v>
      </c>
      <c r="K67" s="122">
        <v>0</v>
      </c>
      <c r="L67" s="122">
        <v>688.09500000000003</v>
      </c>
      <c r="M67" s="122">
        <v>178.541</v>
      </c>
      <c r="N67" s="122">
        <v>0</v>
      </c>
      <c r="O67" s="124">
        <v>866.63599999999997</v>
      </c>
      <c r="P67" s="125">
        <f t="shared" ref="P67" si="85">F67-O67</f>
        <v>0</v>
      </c>
      <c r="Q67" s="126">
        <f t="shared" ref="Q67" si="86">F67/O67*100</f>
        <v>100</v>
      </c>
      <c r="R67" s="122">
        <f t="shared" ref="R67" si="87">O67</f>
        <v>866.63599999999997</v>
      </c>
      <c r="S67" s="125">
        <f t="shared" ref="S67" si="88">F67-R67</f>
        <v>0</v>
      </c>
      <c r="T67" s="126">
        <f t="shared" ref="T67" si="89">F67/R67*100</f>
        <v>100</v>
      </c>
      <c r="U67" s="126">
        <f t="shared" ref="U67" si="90">F67/E67*100</f>
        <v>100</v>
      </c>
      <c r="V67" s="123">
        <v>0</v>
      </c>
      <c r="W67" s="125">
        <f t="shared" ref="W67" si="91">F67-V67</f>
        <v>866.63599999999997</v>
      </c>
      <c r="X67" s="126"/>
    </row>
    <row r="68" spans="1:29" s="50" customFormat="1" ht="22.5" x14ac:dyDescent="0.3">
      <c r="A68" s="47"/>
      <c r="B68" s="51" t="s">
        <v>29</v>
      </c>
      <c r="C68" s="48"/>
      <c r="D68" s="49">
        <f>D72+D71+D70</f>
        <v>4144</v>
      </c>
      <c r="E68" s="49">
        <f>E72+E71+E70</f>
        <v>846638.63899999997</v>
      </c>
      <c r="F68" s="49">
        <f t="shared" si="18"/>
        <v>605247.79399999999</v>
      </c>
      <c r="G68" s="49">
        <f t="shared" ref="G68:N68" si="92">G72+G71+G70</f>
        <v>59687.450000000004</v>
      </c>
      <c r="H68" s="49">
        <f t="shared" si="92"/>
        <v>59884.135999999999</v>
      </c>
      <c r="I68" s="49">
        <f t="shared" ref="I68:M68" si="93">I72+I71+I70</f>
        <v>64901.864000000001</v>
      </c>
      <c r="J68" s="49">
        <f t="shared" si="93"/>
        <v>61351.79</v>
      </c>
      <c r="K68" s="49">
        <f t="shared" si="93"/>
        <v>77675.923999999999</v>
      </c>
      <c r="L68" s="49">
        <f t="shared" si="93"/>
        <v>157907.46900000001</v>
      </c>
      <c r="M68" s="49">
        <f t="shared" si="93"/>
        <v>92863.52</v>
      </c>
      <c r="N68" s="49">
        <f t="shared" si="92"/>
        <v>30975.641</v>
      </c>
      <c r="O68" s="49">
        <f>O72+O71+O70</f>
        <v>605384.86800000002</v>
      </c>
      <c r="P68" s="87">
        <f>F68-O68</f>
        <v>-137.07400000002235</v>
      </c>
      <c r="Q68" s="88">
        <f>F68/O68*100</f>
        <v>99.977357544391083</v>
      </c>
      <c r="R68" s="49">
        <f>R72+R71+R70</f>
        <v>605384.86800000002</v>
      </c>
      <c r="S68" s="87">
        <f>F68-R68</f>
        <v>-137.07400000002235</v>
      </c>
      <c r="T68" s="88">
        <f>F68/R68*100</f>
        <v>99.977357544391083</v>
      </c>
      <c r="U68" s="88">
        <f t="shared" si="20"/>
        <v>71.488326438170049</v>
      </c>
      <c r="V68" s="49">
        <f>V72+V71</f>
        <v>574542.603</v>
      </c>
      <c r="W68" s="87">
        <f>F68-V68</f>
        <v>30705.190999999992</v>
      </c>
      <c r="X68" s="88">
        <f>F68/V68*100</f>
        <v>105.34428445160924</v>
      </c>
    </row>
    <row r="69" spans="1:29" s="13" customFormat="1" ht="23.25" x14ac:dyDescent="0.25">
      <c r="A69" s="12"/>
      <c r="B69" s="169" t="s">
        <v>94</v>
      </c>
      <c r="C69" s="11"/>
      <c r="D69" s="129"/>
      <c r="E69" s="129"/>
      <c r="F69" s="130"/>
      <c r="G69" s="129"/>
      <c r="H69" s="129"/>
      <c r="I69" s="129"/>
      <c r="J69" s="129"/>
      <c r="K69" s="129"/>
      <c r="L69" s="129"/>
      <c r="M69" s="129"/>
      <c r="N69" s="129"/>
      <c r="O69" s="129"/>
      <c r="P69" s="120"/>
      <c r="Q69" s="121"/>
      <c r="R69" s="129"/>
      <c r="S69" s="91"/>
      <c r="T69" s="92"/>
      <c r="U69" s="92"/>
      <c r="V69" s="130"/>
      <c r="W69" s="91"/>
      <c r="X69" s="92"/>
    </row>
    <row r="70" spans="1:29" s="13" customFormat="1" ht="22.5" x14ac:dyDescent="0.25">
      <c r="A70" s="12"/>
      <c r="B70" s="162" t="s">
        <v>162</v>
      </c>
      <c r="C70" s="26"/>
      <c r="D70" s="56">
        <f>D51</f>
        <v>0</v>
      </c>
      <c r="E70" s="56">
        <f>E51</f>
        <v>10995.7</v>
      </c>
      <c r="F70" s="49">
        <f>SUM(G70:N70)</f>
        <v>7330.4000000000005</v>
      </c>
      <c r="G70" s="56">
        <f t="shared" ref="G70:O70" si="94">G51</f>
        <v>0</v>
      </c>
      <c r="H70" s="56">
        <f t="shared" si="94"/>
        <v>0</v>
      </c>
      <c r="I70" s="56">
        <f t="shared" si="94"/>
        <v>2748.9</v>
      </c>
      <c r="J70" s="56">
        <f t="shared" si="94"/>
        <v>916.3</v>
      </c>
      <c r="K70" s="56">
        <f t="shared" si="94"/>
        <v>916.3</v>
      </c>
      <c r="L70" s="56">
        <f t="shared" si="94"/>
        <v>916.3</v>
      </c>
      <c r="M70" s="56">
        <f t="shared" ref="M70" si="95">M51</f>
        <v>916.3</v>
      </c>
      <c r="N70" s="56">
        <f t="shared" si="94"/>
        <v>916.3</v>
      </c>
      <c r="O70" s="56">
        <f t="shared" si="94"/>
        <v>7330.4</v>
      </c>
      <c r="P70" s="91">
        <f t="shared" ref="P70:P71" si="96">F70-O70</f>
        <v>0</v>
      </c>
      <c r="Q70" s="92">
        <f t="shared" ref="Q70" si="97">F70/O70*100</f>
        <v>100.00000000000003</v>
      </c>
      <c r="R70" s="56">
        <f t="shared" ref="R70" si="98">R51</f>
        <v>7330.4</v>
      </c>
      <c r="S70" s="91">
        <f t="shared" ref="S70:S71" si="99">F70-R70</f>
        <v>0</v>
      </c>
      <c r="T70" s="92">
        <f t="shared" ref="T70" si="100">F70/R70*100</f>
        <v>100.00000000000003</v>
      </c>
      <c r="U70" s="92">
        <f t="shared" ref="U70:U71" si="101">F70/E70*100</f>
        <v>66.666060369053355</v>
      </c>
      <c r="V70" s="49">
        <v>0</v>
      </c>
      <c r="W70" s="91">
        <f>F70-V70</f>
        <v>7330.4000000000005</v>
      </c>
      <c r="X70" s="92"/>
    </row>
    <row r="71" spans="1:29" s="13" customFormat="1" ht="22.5" x14ac:dyDescent="0.25">
      <c r="A71" s="12"/>
      <c r="B71" s="162" t="s">
        <v>109</v>
      </c>
      <c r="C71" s="26"/>
      <c r="D71" s="56">
        <f>D53</f>
        <v>0</v>
      </c>
      <c r="E71" s="56">
        <f>E53+E54</f>
        <v>3201.0839999999998</v>
      </c>
      <c r="F71" s="49">
        <f>SUM(G71:N71)</f>
        <v>3201.0839999999998</v>
      </c>
      <c r="G71" s="56">
        <f t="shared" ref="G71:O71" si="102">G53+G54</f>
        <v>0</v>
      </c>
      <c r="H71" s="56">
        <f t="shared" si="102"/>
        <v>0</v>
      </c>
      <c r="I71" s="56">
        <f t="shared" si="102"/>
        <v>0</v>
      </c>
      <c r="J71" s="56">
        <f t="shared" si="102"/>
        <v>0</v>
      </c>
      <c r="K71" s="56">
        <f t="shared" si="102"/>
        <v>0</v>
      </c>
      <c r="L71" s="56">
        <f t="shared" si="102"/>
        <v>3201.0839999999998</v>
      </c>
      <c r="M71" s="56">
        <f t="shared" ref="M71" si="103">M53+M54</f>
        <v>0</v>
      </c>
      <c r="N71" s="56">
        <f t="shared" si="102"/>
        <v>0</v>
      </c>
      <c r="O71" s="56">
        <f t="shared" si="102"/>
        <v>3201.0839999999998</v>
      </c>
      <c r="P71" s="91">
        <f t="shared" si="96"/>
        <v>0</v>
      </c>
      <c r="Q71" s="92">
        <f>F71/O71*100</f>
        <v>100</v>
      </c>
      <c r="R71" s="56">
        <f t="shared" ref="R71" si="104">R53+R54</f>
        <v>3201.0839999999998</v>
      </c>
      <c r="S71" s="91">
        <f t="shared" si="99"/>
        <v>0</v>
      </c>
      <c r="T71" s="92">
        <f>F71/R71*100</f>
        <v>100</v>
      </c>
      <c r="U71" s="92">
        <f t="shared" si="101"/>
        <v>100</v>
      </c>
      <c r="V71" s="49">
        <f>V53+V54</f>
        <v>23428.222000000002</v>
      </c>
      <c r="W71" s="91">
        <f>F71-V71</f>
        <v>-20227.138000000003</v>
      </c>
      <c r="X71" s="92">
        <f>F71/V71*100</f>
        <v>13.66336719875712</v>
      </c>
    </row>
    <row r="72" spans="1:29" s="13" customFormat="1" ht="22.5" x14ac:dyDescent="0.25">
      <c r="A72" s="12"/>
      <c r="B72" s="162" t="s">
        <v>70</v>
      </c>
      <c r="C72" s="26"/>
      <c r="D72" s="56">
        <f>D73+D74</f>
        <v>4144</v>
      </c>
      <c r="E72" s="56">
        <f>E73+E74</f>
        <v>832441.85499999998</v>
      </c>
      <c r="F72" s="49">
        <f t="shared" si="18"/>
        <v>594716.31000000006</v>
      </c>
      <c r="G72" s="56">
        <f t="shared" ref="G72:O72" si="105">G73+G74</f>
        <v>59687.450000000004</v>
      </c>
      <c r="H72" s="56">
        <f t="shared" si="105"/>
        <v>59884.135999999999</v>
      </c>
      <c r="I72" s="56">
        <f t="shared" si="105"/>
        <v>62152.964</v>
      </c>
      <c r="J72" s="56">
        <f t="shared" si="105"/>
        <v>60435.49</v>
      </c>
      <c r="K72" s="56">
        <f t="shared" si="105"/>
        <v>76759.623999999996</v>
      </c>
      <c r="L72" s="56">
        <f t="shared" si="105"/>
        <v>153790.08500000002</v>
      </c>
      <c r="M72" s="56">
        <f t="shared" ref="M72" si="106">M73+M74</f>
        <v>91947.22</v>
      </c>
      <c r="N72" s="56">
        <f t="shared" si="105"/>
        <v>30059.341</v>
      </c>
      <c r="O72" s="56">
        <f t="shared" si="105"/>
        <v>594853.38399999996</v>
      </c>
      <c r="P72" s="91">
        <f>F72-O72</f>
        <v>-137.07399999990594</v>
      </c>
      <c r="Q72" s="92">
        <f>F72/O72*100</f>
        <v>99.976956674756025</v>
      </c>
      <c r="R72" s="56">
        <f t="shared" ref="R72" si="107">R73+R74</f>
        <v>594853.38399999996</v>
      </c>
      <c r="S72" s="91">
        <f>F72-R72</f>
        <v>-137.07399999990594</v>
      </c>
      <c r="T72" s="92">
        <f>F72/R72*100</f>
        <v>99.976956674756025</v>
      </c>
      <c r="U72" s="92">
        <f t="shared" si="20"/>
        <v>71.442384405334835</v>
      </c>
      <c r="V72" s="49">
        <f>V73+V74</f>
        <v>551114.38100000005</v>
      </c>
      <c r="W72" s="91">
        <f>F72-V72</f>
        <v>43601.929000000004</v>
      </c>
      <c r="X72" s="92">
        <f>F72/V72*100</f>
        <v>107.91159340115277</v>
      </c>
    </row>
    <row r="73" spans="1:29" s="8" customFormat="1" ht="23.25" x14ac:dyDescent="0.25">
      <c r="A73" s="14"/>
      <c r="B73" s="17" t="s">
        <v>98</v>
      </c>
      <c r="C73" s="17"/>
      <c r="D73" s="128">
        <f>D52</f>
        <v>0</v>
      </c>
      <c r="E73" s="128">
        <f>E52</f>
        <v>743512.7</v>
      </c>
      <c r="F73" s="131">
        <f t="shared" si="18"/>
        <v>512601.50000000006</v>
      </c>
      <c r="G73" s="128">
        <f t="shared" ref="G73:O73" si="108">G52</f>
        <v>58102.400000000001</v>
      </c>
      <c r="H73" s="128">
        <f t="shared" si="108"/>
        <v>58123.4</v>
      </c>
      <c r="I73" s="128">
        <f t="shared" si="108"/>
        <v>58121.9</v>
      </c>
      <c r="J73" s="128">
        <f t="shared" si="108"/>
        <v>58111.7</v>
      </c>
      <c r="K73" s="128">
        <f t="shared" si="108"/>
        <v>74506.399999999994</v>
      </c>
      <c r="L73" s="128">
        <f t="shared" si="108"/>
        <v>149014.70000000001</v>
      </c>
      <c r="M73" s="128">
        <f t="shared" ref="M73" si="109">M52</f>
        <v>28310.9</v>
      </c>
      <c r="N73" s="128">
        <f t="shared" si="108"/>
        <v>28310.1</v>
      </c>
      <c r="O73" s="128">
        <f t="shared" si="108"/>
        <v>512601.5</v>
      </c>
      <c r="P73" s="125">
        <f>F73-O73</f>
        <v>0</v>
      </c>
      <c r="Q73" s="126">
        <f>F73/O73*100</f>
        <v>100.00000000000003</v>
      </c>
      <c r="R73" s="128">
        <f t="shared" ref="R73" si="110">R52</f>
        <v>512601.5</v>
      </c>
      <c r="S73" s="125">
        <f>F73-R73</f>
        <v>0</v>
      </c>
      <c r="T73" s="126">
        <f>F73/R73*100</f>
        <v>100.00000000000003</v>
      </c>
      <c r="U73" s="126">
        <f t="shared" si="20"/>
        <v>68.943207022556578</v>
      </c>
      <c r="V73" s="131">
        <f>V52</f>
        <v>537384.80000000005</v>
      </c>
      <c r="W73" s="125">
        <f>F73-V73</f>
        <v>-24783.299999999988</v>
      </c>
      <c r="X73" s="126">
        <f>F73/V73*100</f>
        <v>95.388165054166024</v>
      </c>
    </row>
    <row r="74" spans="1:29" s="8" customFormat="1" ht="23.25" x14ac:dyDescent="0.25">
      <c r="A74" s="14"/>
      <c r="B74" s="170" t="s">
        <v>97</v>
      </c>
      <c r="C74" s="17"/>
      <c r="D74" s="128">
        <f>D58+D62+D59</f>
        <v>4144</v>
      </c>
      <c r="E74" s="128">
        <f>E58+E62+E59+E60+E55+E56+E57+E61</f>
        <v>88929.154999999999</v>
      </c>
      <c r="F74" s="131">
        <f t="shared" si="18"/>
        <v>82114.81</v>
      </c>
      <c r="G74" s="128">
        <f t="shared" ref="G74:L74" si="111">G58+G62+G59+G60+G55+G56+G57+G61</f>
        <v>1585.05</v>
      </c>
      <c r="H74" s="128">
        <f t="shared" si="111"/>
        <v>1760.7359999999999</v>
      </c>
      <c r="I74" s="128">
        <f t="shared" si="111"/>
        <v>4031.0639999999999</v>
      </c>
      <c r="J74" s="128">
        <f t="shared" si="111"/>
        <v>2323.7900000000004</v>
      </c>
      <c r="K74" s="128">
        <f t="shared" si="111"/>
        <v>2253.2240000000002</v>
      </c>
      <c r="L74" s="128">
        <f t="shared" si="111"/>
        <v>4775.3850000000002</v>
      </c>
      <c r="M74" s="128">
        <f>M58+M62+M59+M60+M55+M56+M57+M61</f>
        <v>63636.32</v>
      </c>
      <c r="N74" s="128">
        <f>N58+N62+N59+N60+N55+N56+N57+N61</f>
        <v>1749.241</v>
      </c>
      <c r="O74" s="128">
        <f>O58+O62+O59+O60+O55+O56+O57+O61</f>
        <v>82251.883999999991</v>
      </c>
      <c r="P74" s="125">
        <f>F74-O74</f>
        <v>-137.07399999999325</v>
      </c>
      <c r="Q74" s="126">
        <f>F74/O74*100</f>
        <v>99.833348498132892</v>
      </c>
      <c r="R74" s="128">
        <f t="shared" ref="R74" si="112">R58+R62+R59+R60+R55+R56+R57+R61</f>
        <v>82251.883999999991</v>
      </c>
      <c r="S74" s="125">
        <f>F74-R74</f>
        <v>-137.07399999999325</v>
      </c>
      <c r="T74" s="126">
        <f>F74/R74*100</f>
        <v>99.833348498132892</v>
      </c>
      <c r="U74" s="126">
        <f t="shared" si="20"/>
        <v>92.337333015252426</v>
      </c>
      <c r="V74" s="131">
        <f>V58+V62+V59</f>
        <v>13729.581</v>
      </c>
      <c r="W74" s="125">
        <f>F74-V74</f>
        <v>68385.228999999992</v>
      </c>
      <c r="X74" s="126">
        <f>F74/V74*100</f>
        <v>598.08678793620868</v>
      </c>
    </row>
    <row r="75" spans="1:29" s="8" customFormat="1" ht="23.25" x14ac:dyDescent="0.25">
      <c r="A75" s="14"/>
      <c r="B75" s="45"/>
      <c r="C75" s="17"/>
      <c r="D75" s="128"/>
      <c r="E75" s="128"/>
      <c r="F75" s="131"/>
      <c r="G75" s="128"/>
      <c r="H75" s="128"/>
      <c r="I75" s="128"/>
      <c r="J75" s="128"/>
      <c r="K75" s="128"/>
      <c r="L75" s="128"/>
      <c r="M75" s="128"/>
      <c r="N75" s="128"/>
      <c r="O75" s="128"/>
      <c r="P75" s="125"/>
      <c r="Q75" s="126"/>
      <c r="R75" s="128"/>
      <c r="S75" s="125"/>
      <c r="T75" s="126"/>
      <c r="U75" s="126"/>
      <c r="V75" s="131"/>
      <c r="W75" s="125"/>
      <c r="X75" s="126"/>
    </row>
    <row r="76" spans="1:29" s="159" customFormat="1" ht="30.75" customHeight="1" x14ac:dyDescent="0.3">
      <c r="A76" s="152"/>
      <c r="B76" s="153" t="s">
        <v>28</v>
      </c>
      <c r="C76" s="154"/>
      <c r="D76" s="155">
        <f>D68+D50</f>
        <v>4911539.4850000003</v>
      </c>
      <c r="E76" s="155">
        <f>E68+E50</f>
        <v>6511970.1390000004</v>
      </c>
      <c r="F76" s="155">
        <f t="shared" si="18"/>
        <v>4128277.2570000002</v>
      </c>
      <c r="G76" s="155">
        <f t="shared" ref="G76:O76" si="113">G68+G50</f>
        <v>469140.277</v>
      </c>
      <c r="H76" s="155">
        <f t="shared" si="113"/>
        <v>491675.49600000004</v>
      </c>
      <c r="I76" s="155">
        <f t="shared" si="113"/>
        <v>466633.63699999987</v>
      </c>
      <c r="J76" s="155">
        <f t="shared" si="113"/>
        <v>514660.25799999991</v>
      </c>
      <c r="K76" s="155">
        <f t="shared" si="113"/>
        <v>525559.54600000009</v>
      </c>
      <c r="L76" s="155">
        <f t="shared" si="113"/>
        <v>606836.55300000019</v>
      </c>
      <c r="M76" s="155">
        <f>M68+M50</f>
        <v>570591.99100000015</v>
      </c>
      <c r="N76" s="155">
        <f>N68+N50</f>
        <v>483179.49899999995</v>
      </c>
      <c r="O76" s="155">
        <f t="shared" si="113"/>
        <v>3207739.0429999996</v>
      </c>
      <c r="P76" s="156">
        <f>F76-O76</f>
        <v>920538.21400000062</v>
      </c>
      <c r="Q76" s="157">
        <f>F76/O76*100</f>
        <v>128.69741589512464</v>
      </c>
      <c r="R76" s="155">
        <f>R68+R50</f>
        <v>4382272.5346666658</v>
      </c>
      <c r="S76" s="156">
        <f>F76-R76</f>
        <v>-253995.27766666561</v>
      </c>
      <c r="T76" s="157">
        <f>F76/R76*100</f>
        <v>94.204028260282868</v>
      </c>
      <c r="U76" s="157">
        <f t="shared" si="20"/>
        <v>63.3952117236513</v>
      </c>
      <c r="V76" s="155">
        <f>V68+V50</f>
        <v>3463605.7180000003</v>
      </c>
      <c r="W76" s="156">
        <f>F76-V76</f>
        <v>664671.53899999987</v>
      </c>
      <c r="X76" s="157">
        <f>F76/V76*100</f>
        <v>119.19016173075852</v>
      </c>
      <c r="Y76" s="155">
        <v>3463605.7179999999</v>
      </c>
      <c r="Z76" s="158">
        <f>Y76-V76</f>
        <v>0</v>
      </c>
      <c r="AC76" s="158">
        <f>2708373.649-O76</f>
        <v>-499365.39399999939</v>
      </c>
    </row>
    <row r="77" spans="1:29" s="10" customFormat="1" ht="20.25" x14ac:dyDescent="0.25">
      <c r="A77" s="181" t="s">
        <v>9</v>
      </c>
      <c r="B77" s="182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3"/>
    </row>
    <row r="78" spans="1:29" s="61" customFormat="1" ht="23.25" x14ac:dyDescent="0.3">
      <c r="A78" s="24">
        <v>1</v>
      </c>
      <c r="B78" s="60" t="s">
        <v>12</v>
      </c>
      <c r="C78" s="25" t="s">
        <v>21</v>
      </c>
      <c r="D78" s="127">
        <f>D79+D80</f>
        <v>74276.903999999995</v>
      </c>
      <c r="E78" s="127">
        <f t="shared" ref="E78" si="114">D78</f>
        <v>74276.903999999995</v>
      </c>
      <c r="F78" s="118">
        <f t="shared" ref="F78:F99" si="115">SUM(G78:N78)</f>
        <v>114299.126</v>
      </c>
      <c r="G78" s="117">
        <f t="shared" ref="G78:O78" si="116">G79+G80</f>
        <v>12864.64</v>
      </c>
      <c r="H78" s="117">
        <f t="shared" ref="H78:M78" si="117">H79+H80</f>
        <v>12004.367</v>
      </c>
      <c r="I78" s="117">
        <f t="shared" si="117"/>
        <v>21577.853000000003</v>
      </c>
      <c r="J78" s="117">
        <f t="shared" si="117"/>
        <v>12320.983</v>
      </c>
      <c r="K78" s="117">
        <f t="shared" si="117"/>
        <v>14393.143</v>
      </c>
      <c r="L78" s="117">
        <f t="shared" si="117"/>
        <v>19519.350999999999</v>
      </c>
      <c r="M78" s="117">
        <f t="shared" si="117"/>
        <v>7146.4169999999995</v>
      </c>
      <c r="N78" s="117">
        <f t="shared" si="116"/>
        <v>14472.371999999999</v>
      </c>
      <c r="O78" s="119">
        <f t="shared" si="116"/>
        <v>49517.935999999994</v>
      </c>
      <c r="P78" s="120">
        <f t="shared" ref="P78:P92" si="118">F78-O78</f>
        <v>64781.19000000001</v>
      </c>
      <c r="Q78" s="121">
        <f>F78/O78*100</f>
        <v>230.82368780475829</v>
      </c>
      <c r="R78" s="120">
        <f t="shared" ref="R78" si="119">R79+R80</f>
        <v>49517.935999999994</v>
      </c>
      <c r="S78" s="120">
        <f t="shared" ref="S78:S92" si="120">F78-R78</f>
        <v>64781.19000000001</v>
      </c>
      <c r="T78" s="121">
        <f>F78/R78*100</f>
        <v>230.82368780475829</v>
      </c>
      <c r="U78" s="121">
        <f t="shared" ref="U78:U99" si="121">F78/E78*100</f>
        <v>153.88245853650554</v>
      </c>
      <c r="V78" s="118">
        <f t="shared" ref="V78" si="122">V79+V80</f>
        <v>90605.956999999995</v>
      </c>
      <c r="W78" s="120">
        <f t="shared" ref="W78:W92" si="123">F78-V78</f>
        <v>23693.169000000009</v>
      </c>
      <c r="X78" s="121">
        <f>F78/V78*100</f>
        <v>126.1496813062744</v>
      </c>
    </row>
    <row r="79" spans="1:29" s="64" customFormat="1" ht="39" x14ac:dyDescent="0.3">
      <c r="A79" s="42" t="s">
        <v>114</v>
      </c>
      <c r="B79" s="103" t="s">
        <v>110</v>
      </c>
      <c r="C79" s="17" t="s">
        <v>111</v>
      </c>
      <c r="D79" s="128">
        <v>74276.903999999995</v>
      </c>
      <c r="E79" s="128">
        <v>74276.903999999995</v>
      </c>
      <c r="F79" s="123">
        <f t="shared" si="115"/>
        <v>59065.950999999994</v>
      </c>
      <c r="G79" s="122">
        <v>9648.0720000000001</v>
      </c>
      <c r="H79" s="122">
        <v>5486.2629999999999</v>
      </c>
      <c r="I79" s="122">
        <v>6175.7780000000002</v>
      </c>
      <c r="J79" s="122">
        <v>6187.8670000000002</v>
      </c>
      <c r="K79" s="122">
        <v>7899.8220000000001</v>
      </c>
      <c r="L79" s="122">
        <v>13366.040999999999</v>
      </c>
      <c r="M79" s="122">
        <v>5298.308</v>
      </c>
      <c r="N79" s="122">
        <v>5003.8</v>
      </c>
      <c r="O79" s="124">
        <v>49517.935999999994</v>
      </c>
      <c r="P79" s="125">
        <v>49517.935999999994</v>
      </c>
      <c r="Q79" s="126">
        <f>F79/O79*100</f>
        <v>119.28193251027264</v>
      </c>
      <c r="R79" s="125">
        <f>E79/12*8</f>
        <v>49517.935999999994</v>
      </c>
      <c r="S79" s="125">
        <f t="shared" si="120"/>
        <v>9548.0149999999994</v>
      </c>
      <c r="T79" s="126">
        <f>F79/R79*100</f>
        <v>119.28193251027264</v>
      </c>
      <c r="U79" s="126">
        <f t="shared" si="121"/>
        <v>79.521288340181755</v>
      </c>
      <c r="V79" s="123">
        <v>64238.576999999997</v>
      </c>
      <c r="W79" s="125">
        <f t="shared" si="123"/>
        <v>-5172.6260000000038</v>
      </c>
      <c r="X79" s="126">
        <f>F79/V79*100</f>
        <v>91.947788631743805</v>
      </c>
    </row>
    <row r="80" spans="1:29" s="64" customFormat="1" ht="23.25" x14ac:dyDescent="0.3">
      <c r="A80" s="42" t="s">
        <v>115</v>
      </c>
      <c r="B80" s="103" t="s">
        <v>112</v>
      </c>
      <c r="C80" s="17" t="s">
        <v>113</v>
      </c>
      <c r="D80" s="128">
        <v>0</v>
      </c>
      <c r="E80" s="128">
        <v>0</v>
      </c>
      <c r="F80" s="123">
        <f t="shared" si="115"/>
        <v>55233.175000000003</v>
      </c>
      <c r="G80" s="122">
        <v>3216.5680000000002</v>
      </c>
      <c r="H80" s="122">
        <v>6518.1040000000003</v>
      </c>
      <c r="I80" s="122">
        <v>15402.075000000001</v>
      </c>
      <c r="J80" s="122">
        <v>6133.116</v>
      </c>
      <c r="K80" s="122">
        <v>6493.3209999999999</v>
      </c>
      <c r="L80" s="122">
        <v>6153.31</v>
      </c>
      <c r="M80" s="122">
        <v>1848.1089999999999</v>
      </c>
      <c r="N80" s="122">
        <v>9468.5720000000001</v>
      </c>
      <c r="O80" s="124"/>
      <c r="P80" s="125">
        <f t="shared" si="118"/>
        <v>55233.175000000003</v>
      </c>
      <c r="Q80" s="126"/>
      <c r="R80" s="125"/>
      <c r="S80" s="125">
        <f t="shared" si="120"/>
        <v>55233.175000000003</v>
      </c>
      <c r="T80" s="126"/>
      <c r="U80" s="126"/>
      <c r="V80" s="123">
        <v>26367.379999999997</v>
      </c>
      <c r="W80" s="125">
        <f t="shared" si="123"/>
        <v>28865.795000000006</v>
      </c>
      <c r="X80" s="126">
        <f>F80/V80*100</f>
        <v>209.47540104477582</v>
      </c>
    </row>
    <row r="81" spans="1:25" s="61" customFormat="1" ht="39" x14ac:dyDescent="0.3">
      <c r="A81" s="24">
        <v>2</v>
      </c>
      <c r="B81" s="116" t="s">
        <v>145</v>
      </c>
      <c r="C81" s="25" t="s">
        <v>146</v>
      </c>
      <c r="D81" s="127">
        <v>0</v>
      </c>
      <c r="E81" s="127">
        <v>0</v>
      </c>
      <c r="F81" s="118">
        <f t="shared" si="115"/>
        <v>0</v>
      </c>
      <c r="G81" s="117">
        <v>0</v>
      </c>
      <c r="H81" s="117">
        <v>0</v>
      </c>
      <c r="I81" s="117">
        <v>0</v>
      </c>
      <c r="J81" s="117">
        <v>0</v>
      </c>
      <c r="K81" s="117">
        <v>0</v>
      </c>
      <c r="L81" s="117">
        <v>0</v>
      </c>
      <c r="M81" s="117">
        <v>0</v>
      </c>
      <c r="N81" s="117">
        <v>0</v>
      </c>
      <c r="O81" s="119">
        <v>0</v>
      </c>
      <c r="P81" s="120">
        <f t="shared" ref="P81" si="124">F81-O81</f>
        <v>0</v>
      </c>
      <c r="Q81" s="121"/>
      <c r="R81" s="120"/>
      <c r="S81" s="120">
        <f t="shared" ref="S81" si="125">F81-R81</f>
        <v>0</v>
      </c>
      <c r="T81" s="121"/>
      <c r="U81" s="121"/>
      <c r="V81" s="118">
        <v>38.006</v>
      </c>
      <c r="W81" s="120">
        <f t="shared" si="123"/>
        <v>-38.006</v>
      </c>
      <c r="X81" s="121"/>
    </row>
    <row r="82" spans="1:25" s="61" customFormat="1" ht="23.25" x14ac:dyDescent="0.3">
      <c r="A82" s="24">
        <v>3</v>
      </c>
      <c r="B82" s="116" t="s">
        <v>32</v>
      </c>
      <c r="C82" s="25" t="s">
        <v>31</v>
      </c>
      <c r="D82" s="127">
        <v>2740</v>
      </c>
      <c r="E82" s="127">
        <v>2740</v>
      </c>
      <c r="F82" s="118">
        <f t="shared" si="115"/>
        <v>2152.2750000000001</v>
      </c>
      <c r="G82" s="117">
        <v>102.779</v>
      </c>
      <c r="H82" s="117">
        <v>321.11799999999999</v>
      </c>
      <c r="I82" s="117">
        <v>89.424000000000007</v>
      </c>
      <c r="J82" s="117">
        <v>110.73099999999999</v>
      </c>
      <c r="K82" s="117">
        <v>634.18100000000004</v>
      </c>
      <c r="L82" s="117">
        <v>94.954999999999998</v>
      </c>
      <c r="M82" s="117">
        <v>104.834</v>
      </c>
      <c r="N82" s="117">
        <v>694.25300000000004</v>
      </c>
      <c r="O82" s="119">
        <v>1975.9</v>
      </c>
      <c r="P82" s="120">
        <f t="shared" si="118"/>
        <v>176.375</v>
      </c>
      <c r="Q82" s="121">
        <f>F82/O82*100</f>
        <v>108.92631206032695</v>
      </c>
      <c r="R82" s="120">
        <f>E82/12*8</f>
        <v>1826.6666666666667</v>
      </c>
      <c r="S82" s="120">
        <f t="shared" si="120"/>
        <v>325.60833333333335</v>
      </c>
      <c r="T82" s="121">
        <f t="shared" ref="T82:T86" si="126">F82/R82*100</f>
        <v>117.82527372262774</v>
      </c>
      <c r="U82" s="121">
        <f t="shared" si="121"/>
        <v>78.550182481751833</v>
      </c>
      <c r="V82" s="118">
        <v>1806.94</v>
      </c>
      <c r="W82" s="120">
        <f t="shared" si="123"/>
        <v>345.33500000000004</v>
      </c>
      <c r="X82" s="121">
        <f>F82/V82*100</f>
        <v>119.11159197317012</v>
      </c>
    </row>
    <row r="83" spans="1:25" s="61" customFormat="1" ht="39" x14ac:dyDescent="0.3">
      <c r="A83" s="24">
        <v>4</v>
      </c>
      <c r="B83" s="116" t="s">
        <v>147</v>
      </c>
      <c r="C83" s="25" t="s">
        <v>148</v>
      </c>
      <c r="D83" s="127">
        <v>0</v>
      </c>
      <c r="E83" s="127">
        <v>0</v>
      </c>
      <c r="F83" s="118">
        <f t="shared" si="115"/>
        <v>0</v>
      </c>
      <c r="G83" s="117">
        <v>0</v>
      </c>
      <c r="H83" s="117">
        <v>0</v>
      </c>
      <c r="I83" s="117">
        <v>0</v>
      </c>
      <c r="J83" s="117">
        <v>0</v>
      </c>
      <c r="K83" s="117">
        <v>0</v>
      </c>
      <c r="L83" s="117">
        <v>0</v>
      </c>
      <c r="M83" s="117">
        <v>0</v>
      </c>
      <c r="N83" s="117">
        <v>0</v>
      </c>
      <c r="O83" s="119">
        <v>0</v>
      </c>
      <c r="P83" s="120">
        <f t="shared" si="118"/>
        <v>0</v>
      </c>
      <c r="Q83" s="121"/>
      <c r="R83" s="120"/>
      <c r="S83" s="120">
        <f t="shared" ref="S83" si="127">F83-R83</f>
        <v>0</v>
      </c>
      <c r="T83" s="121"/>
      <c r="U83" s="121"/>
      <c r="V83" s="118">
        <v>0.46499999999999997</v>
      </c>
      <c r="W83" s="120">
        <f t="shared" si="123"/>
        <v>-0.46499999999999997</v>
      </c>
      <c r="X83" s="121">
        <f>F83/V83*100</f>
        <v>0</v>
      </c>
    </row>
    <row r="84" spans="1:25" s="61" customFormat="1" ht="39" x14ac:dyDescent="0.3">
      <c r="A84" s="24">
        <v>5</v>
      </c>
      <c r="B84" s="116" t="s">
        <v>83</v>
      </c>
      <c r="C84" s="25">
        <v>21110000</v>
      </c>
      <c r="D84" s="127">
        <v>59</v>
      </c>
      <c r="E84" s="127">
        <v>59</v>
      </c>
      <c r="F84" s="118">
        <f t="shared" si="115"/>
        <v>0</v>
      </c>
      <c r="G84" s="117">
        <v>0</v>
      </c>
      <c r="H84" s="117">
        <v>0</v>
      </c>
      <c r="I84" s="117">
        <v>0</v>
      </c>
      <c r="J84" s="117">
        <v>0</v>
      </c>
      <c r="K84" s="117">
        <v>0</v>
      </c>
      <c r="L84" s="117">
        <v>0</v>
      </c>
      <c r="M84" s="117">
        <v>0</v>
      </c>
      <c r="N84" s="117">
        <v>0</v>
      </c>
      <c r="O84" s="119">
        <v>0</v>
      </c>
      <c r="P84" s="120">
        <f t="shared" si="118"/>
        <v>0</v>
      </c>
      <c r="Q84" s="121"/>
      <c r="R84" s="120">
        <f>E84/12*8</f>
        <v>39.333333333333336</v>
      </c>
      <c r="S84" s="120">
        <f t="shared" si="120"/>
        <v>-39.333333333333336</v>
      </c>
      <c r="T84" s="121">
        <f t="shared" si="126"/>
        <v>0</v>
      </c>
      <c r="U84" s="121">
        <f t="shared" si="121"/>
        <v>0</v>
      </c>
      <c r="V84" s="118">
        <v>0</v>
      </c>
      <c r="W84" s="120">
        <f t="shared" si="123"/>
        <v>0</v>
      </c>
      <c r="X84" s="121"/>
    </row>
    <row r="85" spans="1:25" s="61" customFormat="1" ht="58.5" x14ac:dyDescent="0.3">
      <c r="A85" s="24">
        <f t="shared" ref="A85:A86" si="128">A84+1</f>
        <v>6</v>
      </c>
      <c r="B85" s="60" t="s">
        <v>26</v>
      </c>
      <c r="C85" s="25" t="s">
        <v>25</v>
      </c>
      <c r="D85" s="127">
        <v>45</v>
      </c>
      <c r="E85" s="127">
        <v>45</v>
      </c>
      <c r="F85" s="118">
        <f t="shared" si="115"/>
        <v>45.963999999999999</v>
      </c>
      <c r="G85" s="117">
        <v>14.689</v>
      </c>
      <c r="H85" s="117">
        <v>2.5</v>
      </c>
      <c r="I85" s="117">
        <v>2.5</v>
      </c>
      <c r="J85" s="117">
        <v>18.527000000000001</v>
      </c>
      <c r="K85" s="117">
        <v>2.5</v>
      </c>
      <c r="L85" s="117">
        <v>0</v>
      </c>
      <c r="M85" s="117">
        <v>2.5</v>
      </c>
      <c r="N85" s="117">
        <v>2.7480000000000002</v>
      </c>
      <c r="O85" s="119">
        <v>45</v>
      </c>
      <c r="P85" s="120">
        <f t="shared" si="118"/>
        <v>0.96399999999999864</v>
      </c>
      <c r="Q85" s="121">
        <f>F85/O85*100</f>
        <v>102.14222222222222</v>
      </c>
      <c r="R85" s="120">
        <f>E85/12*8</f>
        <v>30</v>
      </c>
      <c r="S85" s="120">
        <f t="shared" si="120"/>
        <v>15.963999999999999</v>
      </c>
      <c r="T85" s="121">
        <f t="shared" si="126"/>
        <v>153.21333333333334</v>
      </c>
      <c r="U85" s="121">
        <f t="shared" si="121"/>
        <v>102.14222222222222</v>
      </c>
      <c r="V85" s="118">
        <v>27.304000000000002</v>
      </c>
      <c r="W85" s="120">
        <f t="shared" si="123"/>
        <v>18.659999999999997</v>
      </c>
      <c r="X85" s="121">
        <f>F85/V85*100</f>
        <v>168.34163492528566</v>
      </c>
    </row>
    <row r="86" spans="1:25" s="32" customFormat="1" ht="22.5" x14ac:dyDescent="0.3">
      <c r="A86" s="12">
        <f t="shared" si="128"/>
        <v>7</v>
      </c>
      <c r="B86" s="16" t="s">
        <v>10</v>
      </c>
      <c r="C86" s="9"/>
      <c r="D86" s="56">
        <f>SUM(D87:D90)</f>
        <v>64200</v>
      </c>
      <c r="E86" s="56">
        <f>SUM(E87:E90)</f>
        <v>64200</v>
      </c>
      <c r="F86" s="49">
        <f t="shared" si="115"/>
        <v>54251.946000000004</v>
      </c>
      <c r="G86" s="56">
        <f t="shared" ref="G86:N86" si="129">SUM(G87:G90)</f>
        <v>1553.5920000000001</v>
      </c>
      <c r="H86" s="56">
        <f t="shared" si="129"/>
        <v>8330.6190000000006</v>
      </c>
      <c r="I86" s="56">
        <f t="shared" si="129"/>
        <v>2334.3040000000001</v>
      </c>
      <c r="J86" s="56">
        <f t="shared" si="129"/>
        <v>4531.2129999999997</v>
      </c>
      <c r="K86" s="56">
        <f t="shared" si="129"/>
        <v>10116.471</v>
      </c>
      <c r="L86" s="56">
        <f t="shared" ref="L86:M86" si="130">SUM(L87:L90)</f>
        <v>5806.4089999999997</v>
      </c>
      <c r="M86" s="56">
        <f t="shared" si="130"/>
        <v>15825.705</v>
      </c>
      <c r="N86" s="56">
        <f t="shared" si="129"/>
        <v>5753.6330000000007</v>
      </c>
      <c r="O86" s="56">
        <f>SUM(O87:O90)</f>
        <v>50791</v>
      </c>
      <c r="P86" s="56">
        <f t="shared" si="118"/>
        <v>3460.9460000000036</v>
      </c>
      <c r="Q86" s="92">
        <f>F86/O86*100</f>
        <v>106.81409304798095</v>
      </c>
      <c r="R86" s="56">
        <f>SUM(R87:R90)</f>
        <v>42800</v>
      </c>
      <c r="S86" s="91">
        <f t="shared" si="120"/>
        <v>11451.946000000004</v>
      </c>
      <c r="T86" s="92">
        <f t="shared" si="126"/>
        <v>126.7568831775701</v>
      </c>
      <c r="U86" s="92">
        <f t="shared" si="121"/>
        <v>84.504588785046735</v>
      </c>
      <c r="V86" s="49">
        <f>SUM(V87:V90)</f>
        <v>30400.546000000002</v>
      </c>
      <c r="W86" s="91">
        <f t="shared" si="123"/>
        <v>23851.4</v>
      </c>
      <c r="X86" s="92">
        <f>F86/V86*100</f>
        <v>178.45714349998843</v>
      </c>
      <c r="Y86" s="62"/>
    </row>
    <row r="87" spans="1:25" s="64" customFormat="1" ht="39" x14ac:dyDescent="0.3">
      <c r="A87" s="14" t="s">
        <v>149</v>
      </c>
      <c r="B87" s="103" t="s">
        <v>124</v>
      </c>
      <c r="C87" s="17" t="s">
        <v>64</v>
      </c>
      <c r="D87" s="128">
        <v>0</v>
      </c>
      <c r="E87" s="128">
        <v>0</v>
      </c>
      <c r="F87" s="123">
        <f t="shared" si="115"/>
        <v>0</v>
      </c>
      <c r="G87" s="122">
        <v>0</v>
      </c>
      <c r="H87" s="122">
        <v>0</v>
      </c>
      <c r="I87" s="122">
        <v>0</v>
      </c>
      <c r="J87" s="122">
        <v>0</v>
      </c>
      <c r="K87" s="122">
        <v>0</v>
      </c>
      <c r="L87" s="122">
        <v>0</v>
      </c>
      <c r="M87" s="122">
        <v>0</v>
      </c>
      <c r="N87" s="122">
        <v>0</v>
      </c>
      <c r="O87" s="124">
        <v>0</v>
      </c>
      <c r="P87" s="125">
        <f t="shared" si="118"/>
        <v>0</v>
      </c>
      <c r="Q87" s="126"/>
      <c r="R87" s="125">
        <f t="shared" ref="R87" si="131">E87/12*7</f>
        <v>0</v>
      </c>
      <c r="S87" s="125">
        <f t="shared" si="120"/>
        <v>0</v>
      </c>
      <c r="T87" s="126"/>
      <c r="U87" s="126"/>
      <c r="V87" s="123">
        <v>1</v>
      </c>
      <c r="W87" s="125">
        <f t="shared" si="123"/>
        <v>-1</v>
      </c>
      <c r="X87" s="126"/>
    </row>
    <row r="88" spans="1:25" s="64" customFormat="1" ht="39" x14ac:dyDescent="0.3">
      <c r="A88" s="14" t="s">
        <v>150</v>
      </c>
      <c r="B88" s="103" t="s">
        <v>131</v>
      </c>
      <c r="C88" s="17" t="s">
        <v>45</v>
      </c>
      <c r="D88" s="128">
        <v>0</v>
      </c>
      <c r="E88" s="128">
        <v>1986</v>
      </c>
      <c r="F88" s="123">
        <f t="shared" si="115"/>
        <v>2061.1799999999998</v>
      </c>
      <c r="G88" s="122">
        <v>505.08499999999998</v>
      </c>
      <c r="H88" s="122">
        <v>1056.664</v>
      </c>
      <c r="I88" s="122">
        <v>424.43799999999999</v>
      </c>
      <c r="J88" s="122">
        <v>0</v>
      </c>
      <c r="K88" s="122">
        <v>0</v>
      </c>
      <c r="L88" s="122">
        <v>0</v>
      </c>
      <c r="M88" s="122">
        <v>0</v>
      </c>
      <c r="N88" s="122">
        <v>74.992999999999995</v>
      </c>
      <c r="O88" s="124">
        <v>1986</v>
      </c>
      <c r="P88" s="125">
        <f t="shared" si="118"/>
        <v>75.179999999999836</v>
      </c>
      <c r="Q88" s="126">
        <f>F88/O88*100</f>
        <v>103.78549848942598</v>
      </c>
      <c r="R88" s="125">
        <f t="shared" ref="R88:R91" si="132">E88/12*8</f>
        <v>1324</v>
      </c>
      <c r="S88" s="125">
        <f t="shared" si="120"/>
        <v>737.17999999999984</v>
      </c>
      <c r="T88" s="126">
        <f>F88/R88*100</f>
        <v>155.67824773413895</v>
      </c>
      <c r="U88" s="126">
        <f t="shared" ref="U88" si="133">F88/E88*100</f>
        <v>103.78549848942598</v>
      </c>
      <c r="V88" s="123">
        <v>1369.181</v>
      </c>
      <c r="W88" s="125">
        <f t="shared" si="123"/>
        <v>691.9989999999998</v>
      </c>
      <c r="X88" s="126">
        <f>F88/V88*100</f>
        <v>150.54108989242471</v>
      </c>
    </row>
    <row r="89" spans="1:25" s="64" customFormat="1" ht="23.25" x14ac:dyDescent="0.3">
      <c r="A89" s="14" t="s">
        <v>151</v>
      </c>
      <c r="B89" s="103" t="s">
        <v>37</v>
      </c>
      <c r="C89" s="17" t="s">
        <v>22</v>
      </c>
      <c r="D89" s="128">
        <v>19200</v>
      </c>
      <c r="E89" s="128">
        <f>19200-1986</f>
        <v>17214</v>
      </c>
      <c r="F89" s="123">
        <f t="shared" si="115"/>
        <v>3806.527</v>
      </c>
      <c r="G89" s="122">
        <v>0</v>
      </c>
      <c r="H89" s="122">
        <v>0</v>
      </c>
      <c r="I89" s="122">
        <v>0</v>
      </c>
      <c r="J89" s="122">
        <v>0</v>
      </c>
      <c r="K89" s="122">
        <v>3805.857</v>
      </c>
      <c r="L89" s="122">
        <v>0</v>
      </c>
      <c r="M89" s="122">
        <v>0.67</v>
      </c>
      <c r="N89" s="122">
        <v>0</v>
      </c>
      <c r="O89" s="124">
        <v>3805</v>
      </c>
      <c r="P89" s="125">
        <f t="shared" si="118"/>
        <v>1.5270000000000437</v>
      </c>
      <c r="Q89" s="126">
        <f>F89/O89*100</f>
        <v>100.04013140604468</v>
      </c>
      <c r="R89" s="125">
        <f t="shared" si="132"/>
        <v>11476</v>
      </c>
      <c r="S89" s="125">
        <f t="shared" si="120"/>
        <v>-7669.473</v>
      </c>
      <c r="T89" s="126">
        <f>F89/R89*100</f>
        <v>33.169457999302892</v>
      </c>
      <c r="U89" s="126">
        <f t="shared" si="121"/>
        <v>22.112971999535265</v>
      </c>
      <c r="V89" s="123">
        <v>14071.89</v>
      </c>
      <c r="W89" s="125">
        <f t="shared" si="123"/>
        <v>-10265.362999999999</v>
      </c>
      <c r="X89" s="126">
        <f>F89/V89*100</f>
        <v>27.050573874582589</v>
      </c>
    </row>
    <row r="90" spans="1:25" s="63" customFormat="1" ht="23.25" x14ac:dyDescent="0.3">
      <c r="A90" s="14" t="s">
        <v>152</v>
      </c>
      <c r="B90" s="45" t="s">
        <v>66</v>
      </c>
      <c r="C90" s="17" t="s">
        <v>43</v>
      </c>
      <c r="D90" s="128">
        <v>45000</v>
      </c>
      <c r="E90" s="128">
        <v>45000</v>
      </c>
      <c r="F90" s="131">
        <f t="shared" si="115"/>
        <v>48384.239000000001</v>
      </c>
      <c r="G90" s="128">
        <v>1048.5070000000001</v>
      </c>
      <c r="H90" s="128">
        <v>7273.9549999999999</v>
      </c>
      <c r="I90" s="128">
        <v>1909.866</v>
      </c>
      <c r="J90" s="128">
        <v>4531.2129999999997</v>
      </c>
      <c r="K90" s="128">
        <v>6310.6139999999996</v>
      </c>
      <c r="L90" s="128">
        <v>5806.4089999999997</v>
      </c>
      <c r="M90" s="128">
        <v>15825.035</v>
      </c>
      <c r="N90" s="128">
        <v>5678.64</v>
      </c>
      <c r="O90" s="128">
        <v>45000</v>
      </c>
      <c r="P90" s="125">
        <f t="shared" si="118"/>
        <v>3384.2390000000014</v>
      </c>
      <c r="Q90" s="126">
        <f>F90/O90*100</f>
        <v>107.52053111111111</v>
      </c>
      <c r="R90" s="125">
        <f t="shared" si="132"/>
        <v>30000</v>
      </c>
      <c r="S90" s="125">
        <f t="shared" si="120"/>
        <v>18384.239000000001</v>
      </c>
      <c r="T90" s="126">
        <f>F90/R90*100</f>
        <v>161.28079666666667</v>
      </c>
      <c r="U90" s="126">
        <f t="shared" si="121"/>
        <v>107.52053111111111</v>
      </c>
      <c r="V90" s="131">
        <v>14958.475</v>
      </c>
      <c r="W90" s="125">
        <f t="shared" si="123"/>
        <v>33425.764000000003</v>
      </c>
      <c r="X90" s="126">
        <f>F90/V90*100</f>
        <v>323.45703021197016</v>
      </c>
    </row>
    <row r="91" spans="1:25" s="61" customFormat="1" ht="23.25" x14ac:dyDescent="0.3">
      <c r="A91" s="24">
        <v>8</v>
      </c>
      <c r="B91" s="116" t="s">
        <v>11</v>
      </c>
      <c r="C91" s="25" t="s">
        <v>23</v>
      </c>
      <c r="D91" s="127">
        <v>7550.1</v>
      </c>
      <c r="E91" s="127">
        <v>7550.1</v>
      </c>
      <c r="F91" s="118">
        <f t="shared" si="115"/>
        <v>8174.5820000000003</v>
      </c>
      <c r="G91" s="117">
        <v>1846.4469999999999</v>
      </c>
      <c r="H91" s="117">
        <v>276.541</v>
      </c>
      <c r="I91" s="117">
        <v>2470.1729999999998</v>
      </c>
      <c r="J91" s="117">
        <v>804.18299999999999</v>
      </c>
      <c r="K91" s="117">
        <v>572.83699999999999</v>
      </c>
      <c r="L91" s="117">
        <v>1244.58</v>
      </c>
      <c r="M91" s="117">
        <v>336.67700000000002</v>
      </c>
      <c r="N91" s="117">
        <v>623.14400000000001</v>
      </c>
      <c r="O91" s="119">
        <v>7540.1</v>
      </c>
      <c r="P91" s="120">
        <f t="shared" si="118"/>
        <v>634.48199999999997</v>
      </c>
      <c r="Q91" s="121">
        <f>F91/O91*100</f>
        <v>108.41476903489344</v>
      </c>
      <c r="R91" s="120">
        <f t="shared" si="132"/>
        <v>5033.4000000000005</v>
      </c>
      <c r="S91" s="120">
        <f t="shared" si="120"/>
        <v>3141.1819999999998</v>
      </c>
      <c r="T91" s="121">
        <f>F91/R91*100</f>
        <v>162.40676282433344</v>
      </c>
      <c r="U91" s="121">
        <f t="shared" si="121"/>
        <v>108.27117521622229</v>
      </c>
      <c r="V91" s="118">
        <v>4182.902</v>
      </c>
      <c r="W91" s="120">
        <f t="shared" si="123"/>
        <v>3991.6800000000003</v>
      </c>
      <c r="X91" s="121">
        <f>F91/V91*100</f>
        <v>195.42848481747839</v>
      </c>
    </row>
    <row r="92" spans="1:25" s="54" customFormat="1" ht="35.25" customHeight="1" x14ac:dyDescent="0.3">
      <c r="A92" s="52"/>
      <c r="B92" s="85" t="s">
        <v>186</v>
      </c>
      <c r="C92" s="53"/>
      <c r="D92" s="49">
        <f>D78+D82+D85+D87+D88+D89+D90+D91+D84</f>
        <v>148871.00399999999</v>
      </c>
      <c r="E92" s="49">
        <f>E78+E82+E85+E87+E88+E89+E90+E91+E84</f>
        <v>148871.00399999999</v>
      </c>
      <c r="F92" s="49">
        <f t="shared" si="115"/>
        <v>178923.89299999998</v>
      </c>
      <c r="G92" s="49">
        <f t="shared" ref="G92:O92" si="134">G78+G82+G85+G87+G88+G89+G90+G91+G84</f>
        <v>16382.146999999999</v>
      </c>
      <c r="H92" s="49">
        <f t="shared" ref="H92:N92" si="135">H78+H82+H85+H87+H88+H89+H90+H91+H84</f>
        <v>20935.145</v>
      </c>
      <c r="I92" s="49">
        <f t="shared" ref="I92:M92" si="136">I78+I82+I85+I87+I88+I89+I90+I91+I84</f>
        <v>26474.253999999997</v>
      </c>
      <c r="J92" s="49">
        <f t="shared" si="136"/>
        <v>17785.636999999999</v>
      </c>
      <c r="K92" s="49">
        <f t="shared" si="136"/>
        <v>25719.131999999998</v>
      </c>
      <c r="L92" s="49">
        <f t="shared" si="136"/>
        <v>26665.294999999998</v>
      </c>
      <c r="M92" s="49">
        <f t="shared" si="136"/>
        <v>23416.132999999998</v>
      </c>
      <c r="N92" s="49">
        <f t="shared" si="135"/>
        <v>21546.15</v>
      </c>
      <c r="O92" s="49">
        <f t="shared" si="134"/>
        <v>109869.936</v>
      </c>
      <c r="P92" s="87">
        <f t="shared" si="118"/>
        <v>69053.95699999998</v>
      </c>
      <c r="Q92" s="88">
        <f>F92/O92*100</f>
        <v>162.85063914117507</v>
      </c>
      <c r="R92" s="87">
        <f>R78+R82+R85+R87+R88+R89+R90+R91+R84</f>
        <v>99247.335999999981</v>
      </c>
      <c r="S92" s="87">
        <f t="shared" si="120"/>
        <v>79676.557000000001</v>
      </c>
      <c r="T92" s="88">
        <f>F92/R92*100</f>
        <v>180.28080169325656</v>
      </c>
      <c r="U92" s="88">
        <f t="shared" si="121"/>
        <v>120.1872011288377</v>
      </c>
      <c r="V92" s="49">
        <f>V78+V82+V85+V87+V88+V89+V90+V91+V84+V81+V83</f>
        <v>127062.12</v>
      </c>
      <c r="W92" s="87">
        <f t="shared" si="123"/>
        <v>51861.772999999986</v>
      </c>
      <c r="X92" s="88">
        <f>F92/V92*100</f>
        <v>140.81607720695985</v>
      </c>
    </row>
    <row r="93" spans="1:25" s="27" customFormat="1" ht="78" x14ac:dyDescent="0.25">
      <c r="A93" s="24">
        <v>1</v>
      </c>
      <c r="B93" s="60" t="s">
        <v>174</v>
      </c>
      <c r="C93" s="25" t="s">
        <v>69</v>
      </c>
      <c r="D93" s="127">
        <v>129236.2</v>
      </c>
      <c r="E93" s="127">
        <v>129236.2</v>
      </c>
      <c r="F93" s="132">
        <f t="shared" si="115"/>
        <v>34000</v>
      </c>
      <c r="G93" s="127">
        <v>0</v>
      </c>
      <c r="H93" s="127">
        <v>0</v>
      </c>
      <c r="I93" s="127">
        <v>0</v>
      </c>
      <c r="J93" s="127">
        <v>34000</v>
      </c>
      <c r="K93" s="127">
        <v>0</v>
      </c>
      <c r="L93" s="127">
        <v>0</v>
      </c>
      <c r="M93" s="127">
        <v>0</v>
      </c>
      <c r="N93" s="127">
        <v>0</v>
      </c>
      <c r="O93" s="127">
        <v>129236.2</v>
      </c>
      <c r="P93" s="120">
        <f>F93-O93</f>
        <v>-95236.2</v>
      </c>
      <c r="Q93" s="133">
        <f>F93/O93*100</f>
        <v>26.308418229567259</v>
      </c>
      <c r="R93" s="127">
        <f>E93</f>
        <v>129236.2</v>
      </c>
      <c r="S93" s="120">
        <f>F93-R93</f>
        <v>-95236.2</v>
      </c>
      <c r="T93" s="133">
        <f>F93/R93*100</f>
        <v>26.308418229567259</v>
      </c>
      <c r="U93" s="133">
        <f t="shared" si="121"/>
        <v>26.308418229567259</v>
      </c>
      <c r="V93" s="132">
        <v>0</v>
      </c>
      <c r="W93" s="120">
        <f>F93-V93</f>
        <v>34000</v>
      </c>
      <c r="X93" s="121"/>
    </row>
    <row r="94" spans="1:25" s="36" customFormat="1" ht="22.5" x14ac:dyDescent="0.25">
      <c r="A94" s="35"/>
      <c r="B94" s="93"/>
      <c r="C94" s="26"/>
      <c r="D94" s="56"/>
      <c r="E94" s="56"/>
      <c r="F94" s="49"/>
      <c r="G94" s="56"/>
      <c r="H94" s="56"/>
      <c r="I94" s="56"/>
      <c r="J94" s="56"/>
      <c r="K94" s="56"/>
      <c r="L94" s="56"/>
      <c r="M94" s="56"/>
      <c r="N94" s="56"/>
      <c r="O94" s="56"/>
      <c r="P94" s="91"/>
      <c r="Q94" s="92"/>
      <c r="R94" s="91"/>
      <c r="S94" s="91"/>
      <c r="T94" s="92"/>
      <c r="U94" s="92"/>
      <c r="V94" s="49"/>
      <c r="W94" s="91"/>
      <c r="X94" s="92"/>
    </row>
    <row r="95" spans="1:25" s="50" customFormat="1" ht="31.5" customHeight="1" x14ac:dyDescent="0.3">
      <c r="A95" s="47"/>
      <c r="B95" s="51" t="s">
        <v>27</v>
      </c>
      <c r="C95" s="53"/>
      <c r="D95" s="49">
        <f>D96+D97</f>
        <v>129236.2</v>
      </c>
      <c r="E95" s="49">
        <f>E96+E97</f>
        <v>129236.2</v>
      </c>
      <c r="F95" s="49">
        <f t="shared" si="115"/>
        <v>34000</v>
      </c>
      <c r="G95" s="49">
        <f t="shared" ref="G95:O95" si="137">G96+G97</f>
        <v>0</v>
      </c>
      <c r="H95" s="49">
        <f t="shared" si="137"/>
        <v>0</v>
      </c>
      <c r="I95" s="49">
        <f t="shared" si="137"/>
        <v>0</v>
      </c>
      <c r="J95" s="49">
        <f t="shared" si="137"/>
        <v>34000</v>
      </c>
      <c r="K95" s="49">
        <f t="shared" si="137"/>
        <v>0</v>
      </c>
      <c r="L95" s="49">
        <f t="shared" ref="L95:M95" si="138">L96+L97</f>
        <v>0</v>
      </c>
      <c r="M95" s="49">
        <f t="shared" si="138"/>
        <v>0</v>
      </c>
      <c r="N95" s="49">
        <f t="shared" si="137"/>
        <v>0</v>
      </c>
      <c r="O95" s="49">
        <f t="shared" si="137"/>
        <v>129236.2</v>
      </c>
      <c r="P95" s="87">
        <f>F95-O95</f>
        <v>-95236.2</v>
      </c>
      <c r="Q95" s="88">
        <f>F95/O95*100</f>
        <v>26.308418229567259</v>
      </c>
      <c r="R95" s="49">
        <f>R96+R97</f>
        <v>129236.2</v>
      </c>
      <c r="S95" s="87">
        <f>F95-R95</f>
        <v>-95236.2</v>
      </c>
      <c r="T95" s="88">
        <f>F95/R95*100</f>
        <v>26.308418229567259</v>
      </c>
      <c r="U95" s="88">
        <f t="shared" si="121"/>
        <v>26.308418229567259</v>
      </c>
      <c r="V95" s="49">
        <f>V96+V97</f>
        <v>0</v>
      </c>
      <c r="W95" s="87">
        <f>F95-V95</f>
        <v>34000</v>
      </c>
      <c r="X95" s="88"/>
    </row>
    <row r="96" spans="1:25" s="8" customFormat="1" ht="31.5" customHeight="1" x14ac:dyDescent="0.25">
      <c r="A96" s="14"/>
      <c r="B96" s="17" t="s">
        <v>98</v>
      </c>
      <c r="C96" s="17"/>
      <c r="D96" s="128">
        <f>D93</f>
        <v>129236.2</v>
      </c>
      <c r="E96" s="128">
        <f>E93</f>
        <v>129236.2</v>
      </c>
      <c r="F96" s="131">
        <f t="shared" si="115"/>
        <v>34000</v>
      </c>
      <c r="G96" s="128">
        <f t="shared" ref="G96:O96" si="139">G93</f>
        <v>0</v>
      </c>
      <c r="H96" s="128">
        <f t="shared" si="139"/>
        <v>0</v>
      </c>
      <c r="I96" s="128">
        <f t="shared" si="139"/>
        <v>0</v>
      </c>
      <c r="J96" s="128">
        <f t="shared" si="139"/>
        <v>34000</v>
      </c>
      <c r="K96" s="128">
        <f t="shared" ref="K96:M96" si="140">K93</f>
        <v>0</v>
      </c>
      <c r="L96" s="128">
        <f t="shared" si="140"/>
        <v>0</v>
      </c>
      <c r="M96" s="128">
        <f t="shared" si="140"/>
        <v>0</v>
      </c>
      <c r="N96" s="128">
        <f t="shared" si="139"/>
        <v>0</v>
      </c>
      <c r="O96" s="128">
        <f t="shared" si="139"/>
        <v>129236.2</v>
      </c>
      <c r="P96" s="125">
        <f>F96-O96</f>
        <v>-95236.2</v>
      </c>
      <c r="Q96" s="126">
        <f>F96/O96*100</f>
        <v>26.308418229567259</v>
      </c>
      <c r="R96" s="128">
        <f>R93</f>
        <v>129236.2</v>
      </c>
      <c r="S96" s="125">
        <f>F96-R96</f>
        <v>-95236.2</v>
      </c>
      <c r="T96" s="126">
        <f>F96/R96*100</f>
        <v>26.308418229567259</v>
      </c>
      <c r="U96" s="126">
        <f t="shared" si="121"/>
        <v>26.308418229567259</v>
      </c>
      <c r="V96" s="131">
        <f>V93</f>
        <v>0</v>
      </c>
      <c r="W96" s="125">
        <f>F96-V96</f>
        <v>34000</v>
      </c>
      <c r="X96" s="126"/>
    </row>
    <row r="97" spans="1:26" s="8" customFormat="1" ht="31.5" customHeight="1" x14ac:dyDescent="0.25">
      <c r="A97" s="14"/>
      <c r="B97" s="170" t="s">
        <v>97</v>
      </c>
      <c r="C97" s="17"/>
      <c r="D97" s="128">
        <v>0</v>
      </c>
      <c r="E97" s="128">
        <v>0</v>
      </c>
      <c r="F97" s="131">
        <f t="shared" si="115"/>
        <v>0</v>
      </c>
      <c r="G97" s="128">
        <v>0</v>
      </c>
      <c r="H97" s="128">
        <v>0</v>
      </c>
      <c r="I97" s="128">
        <v>0</v>
      </c>
      <c r="J97" s="128">
        <v>0</v>
      </c>
      <c r="K97" s="128">
        <v>0</v>
      </c>
      <c r="L97" s="128">
        <v>0</v>
      </c>
      <c r="M97" s="128">
        <v>0</v>
      </c>
      <c r="N97" s="128">
        <v>0</v>
      </c>
      <c r="O97" s="128">
        <v>0</v>
      </c>
      <c r="P97" s="125">
        <f>F97-O97</f>
        <v>0</v>
      </c>
      <c r="Q97" s="126"/>
      <c r="R97" s="128">
        <v>0</v>
      </c>
      <c r="S97" s="125">
        <f>F97-R97</f>
        <v>0</v>
      </c>
      <c r="T97" s="126"/>
      <c r="U97" s="126"/>
      <c r="V97" s="131">
        <v>0</v>
      </c>
      <c r="W97" s="125">
        <f>F97-V97</f>
        <v>0</v>
      </c>
      <c r="X97" s="126"/>
    </row>
    <row r="98" spans="1:26" s="10" customFormat="1" ht="23.25" x14ac:dyDescent="0.25">
      <c r="A98" s="24"/>
      <c r="B98" s="41"/>
      <c r="C98" s="25"/>
      <c r="D98" s="127"/>
      <c r="E98" s="127"/>
      <c r="F98" s="134"/>
      <c r="G98" s="135"/>
      <c r="H98" s="135"/>
      <c r="I98" s="135"/>
      <c r="J98" s="135"/>
      <c r="K98" s="135"/>
      <c r="L98" s="135"/>
      <c r="M98" s="135"/>
      <c r="N98" s="135"/>
      <c r="O98" s="127"/>
      <c r="P98" s="120"/>
      <c r="Q98" s="121"/>
      <c r="R98" s="127"/>
      <c r="S98" s="120"/>
      <c r="T98" s="121"/>
      <c r="U98" s="121"/>
      <c r="V98" s="134"/>
      <c r="W98" s="120"/>
      <c r="X98" s="121"/>
    </row>
    <row r="99" spans="1:26" s="159" customFormat="1" ht="23.25" x14ac:dyDescent="0.3">
      <c r="A99" s="152"/>
      <c r="B99" s="153" t="s">
        <v>42</v>
      </c>
      <c r="C99" s="160"/>
      <c r="D99" s="155">
        <f>D92+D95</f>
        <v>278107.20399999997</v>
      </c>
      <c r="E99" s="155">
        <f>E92+E95</f>
        <v>278107.20399999997</v>
      </c>
      <c r="F99" s="155">
        <f t="shared" si="115"/>
        <v>212923.89299999998</v>
      </c>
      <c r="G99" s="155">
        <f>G92+G95</f>
        <v>16382.146999999999</v>
      </c>
      <c r="H99" s="155">
        <f>H92+H95</f>
        <v>20935.145</v>
      </c>
      <c r="I99" s="155">
        <f>I92+I95</f>
        <v>26474.253999999997</v>
      </c>
      <c r="J99" s="155">
        <f>J92+J95</f>
        <v>51785.637000000002</v>
      </c>
      <c r="K99" s="155">
        <f>K92+K95</f>
        <v>25719.131999999998</v>
      </c>
      <c r="L99" s="155">
        <f>L92+L95</f>
        <v>26665.294999999998</v>
      </c>
      <c r="M99" s="155">
        <f>M92+M95</f>
        <v>23416.132999999998</v>
      </c>
      <c r="N99" s="155">
        <f>N92+N95</f>
        <v>21546.15</v>
      </c>
      <c r="O99" s="155">
        <f>O92+O95</f>
        <v>239106.136</v>
      </c>
      <c r="P99" s="156">
        <f>F99-O99</f>
        <v>-26182.243000000017</v>
      </c>
      <c r="Q99" s="157">
        <f>F99/O99*100</f>
        <v>89.049949349689612</v>
      </c>
      <c r="R99" s="155">
        <f>R92+R95</f>
        <v>228483.53599999996</v>
      </c>
      <c r="S99" s="156">
        <f>F99-R99</f>
        <v>-15559.642999999982</v>
      </c>
      <c r="T99" s="157">
        <f>F99/R99*100</f>
        <v>93.190037552640121</v>
      </c>
      <c r="U99" s="157">
        <f t="shared" si="121"/>
        <v>76.56180420266999</v>
      </c>
      <c r="V99" s="155">
        <f>V92+V95</f>
        <v>127062.12</v>
      </c>
      <c r="W99" s="156">
        <f>F99-V99</f>
        <v>85861.772999999986</v>
      </c>
      <c r="X99" s="157">
        <f>F99/V99*100</f>
        <v>167.57464223011547</v>
      </c>
      <c r="Y99" s="155">
        <v>127062.12000000001</v>
      </c>
      <c r="Z99" s="155">
        <f>Y99-V99</f>
        <v>0</v>
      </c>
    </row>
    <row r="100" spans="1:26" s="13" customFormat="1" ht="20.25" x14ac:dyDescent="0.25">
      <c r="A100" s="184" t="s">
        <v>41</v>
      </c>
      <c r="B100" s="185"/>
      <c r="C100" s="185"/>
      <c r="D100" s="185"/>
      <c r="E100" s="185"/>
      <c r="F100" s="185"/>
      <c r="G100" s="185"/>
      <c r="H100" s="185"/>
      <c r="I100" s="185"/>
      <c r="J100" s="185"/>
      <c r="K100" s="185"/>
      <c r="L100" s="185"/>
      <c r="M100" s="185"/>
      <c r="N100" s="185"/>
      <c r="O100" s="185"/>
      <c r="P100" s="185"/>
      <c r="Q100" s="185"/>
      <c r="R100" s="185"/>
      <c r="S100" s="185"/>
      <c r="T100" s="185"/>
      <c r="U100" s="185"/>
      <c r="V100" s="185"/>
      <c r="W100" s="185"/>
      <c r="X100" s="186"/>
    </row>
    <row r="101" spans="1:26" s="159" customFormat="1" ht="23.25" x14ac:dyDescent="0.3">
      <c r="A101" s="161"/>
      <c r="B101" s="153" t="s">
        <v>188</v>
      </c>
      <c r="C101" s="160"/>
      <c r="D101" s="155">
        <f>D50+D92</f>
        <v>5056266.4890000001</v>
      </c>
      <c r="E101" s="155">
        <f>E50+E92</f>
        <v>5814202.5039999997</v>
      </c>
      <c r="F101" s="155">
        <f t="shared" ref="F101:F110" si="141">SUM(G101:N101)</f>
        <v>3701953.3560000006</v>
      </c>
      <c r="G101" s="155">
        <f>G50+G92</f>
        <v>425834.97399999999</v>
      </c>
      <c r="H101" s="155">
        <f>H50+H92</f>
        <v>452726.50500000006</v>
      </c>
      <c r="I101" s="155">
        <f>I50+I92</f>
        <v>428206.02699999989</v>
      </c>
      <c r="J101" s="155">
        <f>J50+J92</f>
        <v>471094.10499999992</v>
      </c>
      <c r="K101" s="155">
        <f>K50+K92</f>
        <v>473602.75400000013</v>
      </c>
      <c r="L101" s="155">
        <f>L50+L92</f>
        <v>475594.37900000013</v>
      </c>
      <c r="M101" s="155">
        <f>M50+M92</f>
        <v>501144.60400000011</v>
      </c>
      <c r="N101" s="155">
        <f>N50+N92</f>
        <v>473750.00799999997</v>
      </c>
      <c r="O101" s="155">
        <f>O50+O92</f>
        <v>2712224.111</v>
      </c>
      <c r="P101" s="156">
        <f>F101-O101</f>
        <v>989729.24500000058</v>
      </c>
      <c r="Q101" s="157">
        <f>F101/O101*100</f>
        <v>136.49142565269381</v>
      </c>
      <c r="R101" s="155">
        <f>R50+R92</f>
        <v>3876135.0026666662</v>
      </c>
      <c r="S101" s="156">
        <f>F101-R101</f>
        <v>-174181.64666666556</v>
      </c>
      <c r="T101" s="157">
        <f>F101/R101*100</f>
        <v>95.506305984006389</v>
      </c>
      <c r="U101" s="157">
        <f t="shared" ref="U101:U110" si="142">F101/E101*100</f>
        <v>63.670870656004254</v>
      </c>
      <c r="V101" s="155">
        <f>V50+V92</f>
        <v>3016125.2350000003</v>
      </c>
      <c r="W101" s="156">
        <f>F101-V101</f>
        <v>685828.12100000028</v>
      </c>
      <c r="X101" s="157">
        <f>F101/V101*100</f>
        <v>122.73871499238327</v>
      </c>
    </row>
    <row r="102" spans="1:26" s="32" customFormat="1" ht="22.5" x14ac:dyDescent="0.3">
      <c r="A102" s="12"/>
      <c r="B102" s="16"/>
      <c r="C102" s="26"/>
      <c r="D102" s="56"/>
      <c r="E102" s="56"/>
      <c r="F102" s="49"/>
      <c r="G102" s="56"/>
      <c r="H102" s="56"/>
      <c r="I102" s="56"/>
      <c r="J102" s="56"/>
      <c r="K102" s="56"/>
      <c r="L102" s="56"/>
      <c r="M102" s="56"/>
      <c r="N102" s="56"/>
      <c r="O102" s="56"/>
      <c r="P102" s="91"/>
      <c r="Q102" s="92"/>
      <c r="R102" s="56"/>
      <c r="S102" s="91"/>
      <c r="T102" s="92"/>
      <c r="U102" s="92"/>
      <c r="V102" s="49"/>
      <c r="W102" s="91"/>
      <c r="X102" s="92"/>
    </row>
    <row r="103" spans="1:26" s="50" customFormat="1" ht="22.5" x14ac:dyDescent="0.3">
      <c r="A103" s="47"/>
      <c r="B103" s="51" t="s">
        <v>27</v>
      </c>
      <c r="C103" s="53"/>
      <c r="D103" s="49">
        <f>D104+D105+D106</f>
        <v>133380.20000000001</v>
      </c>
      <c r="E103" s="49">
        <f>E104+E105+E106</f>
        <v>975874.83899999992</v>
      </c>
      <c r="F103" s="49">
        <f t="shared" si="141"/>
        <v>639247.79399999999</v>
      </c>
      <c r="G103" s="49">
        <f>G104+G105+G106</f>
        <v>59687.450000000004</v>
      </c>
      <c r="H103" s="49">
        <f t="shared" ref="H103:N103" si="143">H104+H105+H106</f>
        <v>59884.135999999999</v>
      </c>
      <c r="I103" s="49">
        <f t="shared" ref="I103:M103" si="144">I104+I105+I106</f>
        <v>64901.864000000001</v>
      </c>
      <c r="J103" s="49">
        <f t="shared" si="144"/>
        <v>95351.79</v>
      </c>
      <c r="K103" s="49">
        <f t="shared" si="144"/>
        <v>77675.923999999999</v>
      </c>
      <c r="L103" s="49">
        <f t="shared" si="144"/>
        <v>157907.46900000001</v>
      </c>
      <c r="M103" s="49">
        <f t="shared" si="144"/>
        <v>92863.52</v>
      </c>
      <c r="N103" s="49">
        <f t="shared" si="143"/>
        <v>30975.641</v>
      </c>
      <c r="O103" s="49">
        <f>O104+O105+O106</f>
        <v>734621.06799999997</v>
      </c>
      <c r="P103" s="87">
        <f>F103-O103</f>
        <v>-95373.273999999976</v>
      </c>
      <c r="Q103" s="88">
        <f>F103/O103*100</f>
        <v>87.017351100526838</v>
      </c>
      <c r="R103" s="49">
        <f>R104+R105+R106</f>
        <v>734621.06799999997</v>
      </c>
      <c r="S103" s="87">
        <f>F103-R103</f>
        <v>-95373.273999999976</v>
      </c>
      <c r="T103" s="88">
        <f>F103/R103*100</f>
        <v>87.017351100526838</v>
      </c>
      <c r="U103" s="88">
        <f t="shared" si="142"/>
        <v>65.505100495781917</v>
      </c>
      <c r="V103" s="49">
        <f>V104+V105+V106</f>
        <v>574542.603</v>
      </c>
      <c r="W103" s="87">
        <f>F103-V103</f>
        <v>64705.190999999992</v>
      </c>
      <c r="X103" s="88">
        <f>F103/V103*100</f>
        <v>111.26203534118078</v>
      </c>
    </row>
    <row r="104" spans="1:26" s="57" customFormat="1" ht="28.5" customHeight="1" x14ac:dyDescent="0.3">
      <c r="A104" s="163"/>
      <c r="B104" s="162" t="s">
        <v>162</v>
      </c>
      <c r="C104" s="55"/>
      <c r="D104" s="56">
        <f>D70</f>
        <v>0</v>
      </c>
      <c r="E104" s="56">
        <f>E70</f>
        <v>10995.7</v>
      </c>
      <c r="F104" s="49">
        <f>SUM(G104:N104)</f>
        <v>7330.4000000000005</v>
      </c>
      <c r="G104" s="56">
        <f>G70</f>
        <v>0</v>
      </c>
      <c r="H104" s="56">
        <f>H70</f>
        <v>0</v>
      </c>
      <c r="I104" s="56">
        <f>I70</f>
        <v>2748.9</v>
      </c>
      <c r="J104" s="56">
        <f>J70</f>
        <v>916.3</v>
      </c>
      <c r="K104" s="56">
        <f>K70</f>
        <v>916.3</v>
      </c>
      <c r="L104" s="56">
        <f>L70</f>
        <v>916.3</v>
      </c>
      <c r="M104" s="56">
        <f>M70</f>
        <v>916.3</v>
      </c>
      <c r="N104" s="56">
        <f>N70</f>
        <v>916.3</v>
      </c>
      <c r="O104" s="56">
        <f>O70</f>
        <v>7330.4</v>
      </c>
      <c r="P104" s="91">
        <f t="shared" ref="P104:P105" si="145">F104-O104</f>
        <v>0</v>
      </c>
      <c r="Q104" s="92">
        <f t="shared" ref="Q104:Q105" si="146">F104/O104*100</f>
        <v>100.00000000000003</v>
      </c>
      <c r="R104" s="56">
        <f>R70</f>
        <v>7330.4</v>
      </c>
      <c r="S104" s="91">
        <f t="shared" ref="S104:S105" si="147">F104-R104</f>
        <v>0</v>
      </c>
      <c r="T104" s="92">
        <f t="shared" ref="T104:T105" si="148">F104/R104*100</f>
        <v>100.00000000000003</v>
      </c>
      <c r="U104" s="92">
        <f t="shared" ref="U104:U105" si="149">F104/E104*100</f>
        <v>66.666060369053355</v>
      </c>
      <c r="V104" s="49">
        <f>V70</f>
        <v>0</v>
      </c>
      <c r="W104" s="91">
        <f t="shared" ref="W104:W105" si="150">F104-V104</f>
        <v>7330.4000000000005</v>
      </c>
      <c r="X104" s="92"/>
    </row>
    <row r="105" spans="1:26" s="57" customFormat="1" ht="28.5" customHeight="1" x14ac:dyDescent="0.3">
      <c r="A105" s="163"/>
      <c r="B105" s="162" t="s">
        <v>109</v>
      </c>
      <c r="C105" s="55"/>
      <c r="D105" s="56">
        <f>D71</f>
        <v>0</v>
      </c>
      <c r="E105" s="56">
        <f>E71</f>
        <v>3201.0839999999998</v>
      </c>
      <c r="F105" s="49">
        <f>SUM(G105:N105)</f>
        <v>3201.0839999999998</v>
      </c>
      <c r="G105" s="56">
        <f>G71</f>
        <v>0</v>
      </c>
      <c r="H105" s="56">
        <f>H71</f>
        <v>0</v>
      </c>
      <c r="I105" s="56">
        <f>I71</f>
        <v>0</v>
      </c>
      <c r="J105" s="56">
        <f>J71</f>
        <v>0</v>
      </c>
      <c r="K105" s="56">
        <f>K71</f>
        <v>0</v>
      </c>
      <c r="L105" s="56">
        <f>L71</f>
        <v>3201.0839999999998</v>
      </c>
      <c r="M105" s="56">
        <f>M71</f>
        <v>0</v>
      </c>
      <c r="N105" s="56">
        <f>N71</f>
        <v>0</v>
      </c>
      <c r="O105" s="56">
        <f>O71</f>
        <v>3201.0839999999998</v>
      </c>
      <c r="P105" s="91">
        <f t="shared" si="145"/>
        <v>0</v>
      </c>
      <c r="Q105" s="92">
        <f t="shared" si="146"/>
        <v>100</v>
      </c>
      <c r="R105" s="56">
        <f>R71</f>
        <v>3201.0839999999998</v>
      </c>
      <c r="S105" s="91">
        <f t="shared" si="147"/>
        <v>0</v>
      </c>
      <c r="T105" s="92">
        <f t="shared" si="148"/>
        <v>100</v>
      </c>
      <c r="U105" s="92">
        <f t="shared" si="149"/>
        <v>100</v>
      </c>
      <c r="V105" s="49">
        <f>V71</f>
        <v>23428.222000000002</v>
      </c>
      <c r="W105" s="91">
        <f t="shared" si="150"/>
        <v>-20227.138000000003</v>
      </c>
      <c r="X105" s="92">
        <f>F105/V105*100</f>
        <v>13.66336719875712</v>
      </c>
    </row>
    <row r="106" spans="1:26" s="57" customFormat="1" ht="28.5" customHeight="1" x14ac:dyDescent="0.3">
      <c r="A106" s="163"/>
      <c r="B106" s="58" t="s">
        <v>70</v>
      </c>
      <c r="C106" s="55"/>
      <c r="D106" s="56">
        <f>D107+D108</f>
        <v>133380.20000000001</v>
      </c>
      <c r="E106" s="56">
        <f t="shared" ref="E106" si="151">E107+E108</f>
        <v>961678.05499999993</v>
      </c>
      <c r="F106" s="49">
        <f t="shared" si="141"/>
        <v>628716.31000000006</v>
      </c>
      <c r="G106" s="56">
        <f t="shared" ref="G106:O106" si="152">G107+G108</f>
        <v>59687.450000000004</v>
      </c>
      <c r="H106" s="56">
        <f t="shared" ref="H106:N106" si="153">H107+H108</f>
        <v>59884.135999999999</v>
      </c>
      <c r="I106" s="56">
        <f t="shared" ref="I106:M106" si="154">I107+I108</f>
        <v>62152.964</v>
      </c>
      <c r="J106" s="56">
        <f t="shared" si="154"/>
        <v>94435.489999999991</v>
      </c>
      <c r="K106" s="56">
        <f t="shared" si="154"/>
        <v>76759.623999999996</v>
      </c>
      <c r="L106" s="56">
        <f t="shared" si="154"/>
        <v>153790.08500000002</v>
      </c>
      <c r="M106" s="56">
        <f t="shared" si="154"/>
        <v>91947.22</v>
      </c>
      <c r="N106" s="56">
        <f t="shared" si="153"/>
        <v>30059.341</v>
      </c>
      <c r="O106" s="56">
        <f t="shared" si="152"/>
        <v>724089.58399999992</v>
      </c>
      <c r="P106" s="91">
        <f>F106-O106</f>
        <v>-95373.273999999859</v>
      </c>
      <c r="Q106" s="92">
        <f>F106/O106*100</f>
        <v>86.828525626188281</v>
      </c>
      <c r="R106" s="56">
        <f t="shared" ref="R106" si="155">R107+R108</f>
        <v>724089.58399999992</v>
      </c>
      <c r="S106" s="91">
        <f>F106-R106</f>
        <v>-95373.273999999859</v>
      </c>
      <c r="T106" s="92">
        <f>F106/R106*100</f>
        <v>86.828525626188281</v>
      </c>
      <c r="U106" s="92">
        <f t="shared" si="142"/>
        <v>65.37700498947126</v>
      </c>
      <c r="V106" s="49">
        <f t="shared" ref="V106" si="156">V107+V108</f>
        <v>551114.38100000005</v>
      </c>
      <c r="W106" s="91">
        <f>F106-V106</f>
        <v>77601.929000000004</v>
      </c>
      <c r="X106" s="92">
        <f>F106/V106*100</f>
        <v>114.08091163565555</v>
      </c>
    </row>
    <row r="107" spans="1:26" s="166" customFormat="1" ht="28.5" customHeight="1" x14ac:dyDescent="0.35">
      <c r="A107" s="164"/>
      <c r="B107" s="165" t="s">
        <v>98</v>
      </c>
      <c r="C107" s="165"/>
      <c r="D107" s="128">
        <f>D73+D96</f>
        <v>129236.2</v>
      </c>
      <c r="E107" s="128">
        <f>E73+E96</f>
        <v>872748.89999999991</v>
      </c>
      <c r="F107" s="131">
        <f t="shared" si="141"/>
        <v>546601.50000000012</v>
      </c>
      <c r="G107" s="128">
        <f>G73+G96</f>
        <v>58102.400000000001</v>
      </c>
      <c r="H107" s="128">
        <f>H73+H96</f>
        <v>58123.4</v>
      </c>
      <c r="I107" s="128">
        <f>I73+I96</f>
        <v>58121.9</v>
      </c>
      <c r="J107" s="128">
        <f>J73+J96</f>
        <v>92111.7</v>
      </c>
      <c r="K107" s="128">
        <f>K73+K96</f>
        <v>74506.399999999994</v>
      </c>
      <c r="L107" s="128">
        <f>L73+L96</f>
        <v>149014.70000000001</v>
      </c>
      <c r="M107" s="128">
        <f>M73+M96</f>
        <v>28310.9</v>
      </c>
      <c r="N107" s="128">
        <f>N73+N96</f>
        <v>28310.1</v>
      </c>
      <c r="O107" s="128">
        <f>O73+O96</f>
        <v>641837.69999999995</v>
      </c>
      <c r="P107" s="125">
        <f>F107-O107</f>
        <v>-95236.199999999837</v>
      </c>
      <c r="Q107" s="126">
        <f>F107/O107*100</f>
        <v>85.161949820024617</v>
      </c>
      <c r="R107" s="128">
        <f>R73+R96</f>
        <v>641837.69999999995</v>
      </c>
      <c r="S107" s="125">
        <f>F107-R107</f>
        <v>-95236.199999999837</v>
      </c>
      <c r="T107" s="126">
        <f>F107/R107*100</f>
        <v>85.161949820024617</v>
      </c>
      <c r="U107" s="126">
        <f t="shared" si="142"/>
        <v>62.629869828538332</v>
      </c>
      <c r="V107" s="131">
        <f>V73+V96</f>
        <v>537384.80000000005</v>
      </c>
      <c r="W107" s="125">
        <f>F107-V107</f>
        <v>9216.7000000000698</v>
      </c>
      <c r="X107" s="126">
        <f>F107/V107*100</f>
        <v>101.71510247405584</v>
      </c>
    </row>
    <row r="108" spans="1:26" s="166" customFormat="1" ht="28.5" customHeight="1" x14ac:dyDescent="0.35">
      <c r="A108" s="164"/>
      <c r="B108" s="165" t="s">
        <v>97</v>
      </c>
      <c r="C108" s="165"/>
      <c r="D108" s="128">
        <f>D97+D74</f>
        <v>4144</v>
      </c>
      <c r="E108" s="128">
        <f>E97+E74</f>
        <v>88929.154999999999</v>
      </c>
      <c r="F108" s="131">
        <f t="shared" si="141"/>
        <v>82114.81</v>
      </c>
      <c r="G108" s="128">
        <f>G97+G74</f>
        <v>1585.05</v>
      </c>
      <c r="H108" s="128">
        <f>H97+H74</f>
        <v>1760.7359999999999</v>
      </c>
      <c r="I108" s="128">
        <f>I97+I74</f>
        <v>4031.0639999999999</v>
      </c>
      <c r="J108" s="128">
        <f>J97+J74</f>
        <v>2323.7900000000004</v>
      </c>
      <c r="K108" s="128">
        <f>K97+K74</f>
        <v>2253.2240000000002</v>
      </c>
      <c r="L108" s="128">
        <f>L97+L74</f>
        <v>4775.3850000000002</v>
      </c>
      <c r="M108" s="128">
        <f>M97+M74</f>
        <v>63636.32</v>
      </c>
      <c r="N108" s="128">
        <f>N97+N74</f>
        <v>1749.241</v>
      </c>
      <c r="O108" s="128">
        <f>O97+O74</f>
        <v>82251.883999999991</v>
      </c>
      <c r="P108" s="125">
        <f>F108-O108</f>
        <v>-137.07399999999325</v>
      </c>
      <c r="Q108" s="126">
        <f>F108/O108*100</f>
        <v>99.833348498132892</v>
      </c>
      <c r="R108" s="128">
        <f>R97+R74</f>
        <v>82251.883999999991</v>
      </c>
      <c r="S108" s="125">
        <f>F108-R108</f>
        <v>-137.07399999999325</v>
      </c>
      <c r="T108" s="126">
        <f>F108/R108*100</f>
        <v>99.833348498132892</v>
      </c>
      <c r="U108" s="126">
        <f t="shared" si="142"/>
        <v>92.337333015252426</v>
      </c>
      <c r="V108" s="131">
        <f>V97+V74</f>
        <v>13729.581</v>
      </c>
      <c r="W108" s="125">
        <f>F108-V108</f>
        <v>68385.228999999992</v>
      </c>
      <c r="X108" s="126">
        <f>F108/V108*100</f>
        <v>598.08678793620868</v>
      </c>
    </row>
    <row r="109" spans="1:26" s="8" customFormat="1" ht="23.25" x14ac:dyDescent="0.25">
      <c r="A109" s="28"/>
      <c r="B109" s="45"/>
      <c r="C109" s="17"/>
      <c r="D109" s="128"/>
      <c r="E109" s="128"/>
      <c r="F109" s="131"/>
      <c r="G109" s="128"/>
      <c r="H109" s="128"/>
      <c r="I109" s="128"/>
      <c r="J109" s="128"/>
      <c r="K109" s="128"/>
      <c r="L109" s="128"/>
      <c r="M109" s="128"/>
      <c r="N109" s="128"/>
      <c r="O109" s="128"/>
      <c r="P109" s="125"/>
      <c r="Q109" s="126"/>
      <c r="R109" s="128"/>
      <c r="S109" s="125"/>
      <c r="T109" s="126"/>
      <c r="U109" s="126"/>
      <c r="V109" s="131"/>
      <c r="W109" s="125"/>
      <c r="X109" s="126"/>
    </row>
    <row r="110" spans="1:26" s="159" customFormat="1" ht="46.5" x14ac:dyDescent="0.3">
      <c r="A110" s="161"/>
      <c r="B110" s="153" t="s">
        <v>125</v>
      </c>
      <c r="C110" s="160"/>
      <c r="D110" s="155">
        <f>D101+D103</f>
        <v>5189646.6890000002</v>
      </c>
      <c r="E110" s="155">
        <f>E101+E103</f>
        <v>6790077.3429999994</v>
      </c>
      <c r="F110" s="155">
        <f t="shared" si="141"/>
        <v>4341201.1500000004</v>
      </c>
      <c r="G110" s="155">
        <f>G101+G103</f>
        <v>485522.424</v>
      </c>
      <c r="H110" s="155">
        <f>H101+H103</f>
        <v>512610.64100000006</v>
      </c>
      <c r="I110" s="155">
        <f>I101+I103</f>
        <v>493107.89099999989</v>
      </c>
      <c r="J110" s="155">
        <f>J101+J103</f>
        <v>566445.8949999999</v>
      </c>
      <c r="K110" s="155">
        <f>K101+K103</f>
        <v>551278.67800000007</v>
      </c>
      <c r="L110" s="155">
        <f>L101+L103</f>
        <v>633501.84800000011</v>
      </c>
      <c r="M110" s="155">
        <f>M101+M103</f>
        <v>594008.12400000007</v>
      </c>
      <c r="N110" s="155">
        <f>N101+N103</f>
        <v>504725.64899999998</v>
      </c>
      <c r="O110" s="155">
        <f>O101+O103</f>
        <v>3446845.179</v>
      </c>
      <c r="P110" s="156">
        <f>F110-O110</f>
        <v>894355.97100000037</v>
      </c>
      <c r="Q110" s="157">
        <f>F110/O110*100</f>
        <v>125.94708855648315</v>
      </c>
      <c r="R110" s="155">
        <f>R99+R76</f>
        <v>4610756.0706666661</v>
      </c>
      <c r="S110" s="156">
        <f>F110-R110</f>
        <v>-269554.92066666577</v>
      </c>
      <c r="T110" s="157">
        <f>F110/R110*100</f>
        <v>94.153780496401524</v>
      </c>
      <c r="U110" s="157">
        <f t="shared" si="142"/>
        <v>63.934487498517441</v>
      </c>
      <c r="V110" s="155">
        <f>V101+V103</f>
        <v>3590667.8380000005</v>
      </c>
      <c r="W110" s="156">
        <f>F110-V110</f>
        <v>750533.31199999992</v>
      </c>
      <c r="X110" s="157">
        <f>F110/V110*100</f>
        <v>120.9023319856299</v>
      </c>
      <c r="Y110" s="155">
        <v>3590667.8380000005</v>
      </c>
      <c r="Z110" s="155">
        <f>Y110-V110</f>
        <v>0</v>
      </c>
    </row>
    <row r="111" spans="1:26" s="15" customFormat="1" ht="3.75" customHeight="1" x14ac:dyDescent="0.3">
      <c r="A111" s="37"/>
      <c r="B111" s="38"/>
      <c r="C111" s="39"/>
      <c r="D111" s="39"/>
      <c r="E111" s="40"/>
      <c r="F111" s="102"/>
      <c r="G111" s="40"/>
      <c r="H111" s="40"/>
      <c r="I111" s="40"/>
      <c r="J111" s="40"/>
      <c r="K111" s="40"/>
      <c r="L111" s="40"/>
      <c r="M111" s="40"/>
      <c r="N111" s="40"/>
      <c r="O111" s="40"/>
      <c r="P111" s="94"/>
      <c r="Q111" s="95"/>
      <c r="R111" s="40"/>
      <c r="S111" s="94"/>
      <c r="T111" s="95"/>
      <c r="U111" s="95"/>
      <c r="V111" s="102"/>
      <c r="W111" s="94"/>
      <c r="X111" s="95"/>
    </row>
    <row r="112" spans="1:26" s="15" customFormat="1" ht="119.25" customHeight="1" x14ac:dyDescent="0.4">
      <c r="A112" s="37"/>
      <c r="B112" s="196" t="s">
        <v>211</v>
      </c>
      <c r="C112" s="197"/>
      <c r="D112" s="197"/>
      <c r="E112" s="197"/>
      <c r="F112" s="197" t="s">
        <v>88</v>
      </c>
      <c r="G112" s="22"/>
      <c r="H112" s="22"/>
      <c r="I112" s="22"/>
      <c r="J112" s="22"/>
      <c r="K112" s="22"/>
      <c r="L112" s="22"/>
      <c r="M112" s="22"/>
      <c r="N112" s="22"/>
      <c r="O112" s="40"/>
      <c r="P112" s="94"/>
      <c r="Q112" s="95"/>
      <c r="R112" s="40"/>
      <c r="S112" s="94"/>
      <c r="T112" s="95"/>
      <c r="U112" s="95"/>
      <c r="V112" s="22"/>
      <c r="W112" s="94"/>
      <c r="X112" s="95"/>
    </row>
    <row r="113" spans="1:24" s="8" customFormat="1" ht="18" customHeight="1" x14ac:dyDescent="0.45">
      <c r="A113" s="6"/>
      <c r="B113" s="31" t="s">
        <v>52</v>
      </c>
      <c r="C113" s="19"/>
      <c r="D113" s="19"/>
      <c r="E113" s="19"/>
      <c r="F113" s="21"/>
      <c r="G113" s="21"/>
      <c r="H113" s="21"/>
      <c r="I113" s="21"/>
      <c r="J113" s="21"/>
      <c r="K113" s="21"/>
      <c r="L113" s="21"/>
      <c r="M113" s="21"/>
      <c r="N113" s="21"/>
      <c r="O113" s="7"/>
      <c r="P113" s="96"/>
      <c r="Q113" s="97"/>
      <c r="R113" s="7"/>
      <c r="S113" s="96"/>
      <c r="T113" s="97"/>
      <c r="U113" s="97"/>
      <c r="V113" s="21"/>
      <c r="W113" s="96"/>
      <c r="X113" s="97"/>
    </row>
    <row r="114" spans="1:24" s="8" customFormat="1" ht="30.75" x14ac:dyDescent="0.45">
      <c r="A114" s="6"/>
      <c r="B114" s="19"/>
      <c r="C114" s="19"/>
      <c r="D114" s="19"/>
      <c r="E114" s="141"/>
      <c r="F114" s="59"/>
      <c r="G114" s="21"/>
      <c r="H114" s="21"/>
      <c r="I114" s="21"/>
      <c r="J114" s="21"/>
      <c r="K114" s="21"/>
      <c r="L114" s="21"/>
      <c r="M114" s="21"/>
      <c r="N114" s="21"/>
      <c r="O114" s="7"/>
      <c r="P114" s="96"/>
      <c r="Q114" s="97"/>
      <c r="R114" s="7"/>
      <c r="S114" s="96"/>
      <c r="T114" s="97"/>
      <c r="U114" s="97"/>
      <c r="V114" s="59"/>
      <c r="W114" s="96"/>
      <c r="X114" s="97"/>
    </row>
    <row r="115" spans="1:24" s="4" customFormat="1" ht="30.75" hidden="1" x14ac:dyDescent="0.45">
      <c r="A115" s="29"/>
      <c r="B115" s="19"/>
      <c r="C115" s="19"/>
      <c r="D115" s="113">
        <v>5189646.6890000002</v>
      </c>
      <c r="E115" s="113">
        <v>6790077.3430000003</v>
      </c>
      <c r="F115" s="65">
        <v>4341201.1500000004</v>
      </c>
      <c r="G115" s="114"/>
      <c r="H115" s="114"/>
      <c r="I115" s="114"/>
      <c r="J115" s="114"/>
      <c r="K115" s="114"/>
      <c r="L115" s="114"/>
      <c r="M115" s="114"/>
      <c r="N115" s="114"/>
      <c r="O115" s="65">
        <v>3446845.179</v>
      </c>
      <c r="P115" s="5"/>
      <c r="Q115" s="5"/>
      <c r="R115" s="22"/>
      <c r="S115" s="5"/>
      <c r="T115" s="5"/>
      <c r="U115" s="5"/>
      <c r="V115" s="65"/>
      <c r="W115" s="5"/>
    </row>
    <row r="116" spans="1:24" ht="12" hidden="1" customHeight="1" x14ac:dyDescent="0.45">
      <c r="B116" s="31"/>
      <c r="C116" s="21"/>
      <c r="D116" s="21"/>
      <c r="E116" s="21"/>
      <c r="F116" s="59"/>
      <c r="G116" s="21"/>
      <c r="H116" s="21"/>
      <c r="I116" s="21"/>
      <c r="J116" s="21"/>
      <c r="K116" s="21"/>
      <c r="L116" s="21"/>
      <c r="M116" s="21"/>
      <c r="N116" s="21"/>
      <c r="V116" s="59"/>
    </row>
    <row r="117" spans="1:24" s="2" customFormat="1" ht="30.75" hidden="1" customHeight="1" x14ac:dyDescent="0.45">
      <c r="A117" s="30"/>
      <c r="B117" s="19"/>
      <c r="C117" s="19"/>
      <c r="D117" s="19"/>
      <c r="E117" s="19"/>
      <c r="F117" s="59"/>
      <c r="G117" s="21"/>
      <c r="H117" s="21"/>
      <c r="I117" s="21"/>
      <c r="J117" s="21"/>
      <c r="K117" s="21"/>
      <c r="L117" s="21"/>
      <c r="M117" s="21"/>
      <c r="N117" s="21"/>
      <c r="P117" s="149"/>
      <c r="Q117" s="149"/>
      <c r="R117" s="149"/>
      <c r="S117" s="149"/>
      <c r="T117" s="149"/>
      <c r="U117" s="149"/>
      <c r="V117" s="59"/>
      <c r="W117" s="149"/>
    </row>
    <row r="118" spans="1:24" s="2" customFormat="1" ht="30.75" hidden="1" customHeight="1" x14ac:dyDescent="0.45">
      <c r="A118" s="30"/>
      <c r="B118" s="19"/>
      <c r="C118" s="19"/>
      <c r="D118" s="19"/>
      <c r="E118" s="19"/>
      <c r="F118" s="59"/>
      <c r="G118" s="21"/>
      <c r="H118" s="21"/>
      <c r="I118" s="21"/>
      <c r="J118" s="21"/>
      <c r="K118" s="21"/>
      <c r="L118" s="21"/>
      <c r="M118" s="21"/>
      <c r="N118" s="21"/>
      <c r="P118" s="149"/>
      <c r="Q118" s="149"/>
      <c r="R118" s="149"/>
      <c r="S118" s="149"/>
      <c r="T118" s="149"/>
      <c r="U118" s="149"/>
      <c r="V118" s="59"/>
      <c r="W118" s="149"/>
    </row>
    <row r="119" spans="1:24" s="2" customFormat="1" ht="16.5" hidden="1" customHeight="1" x14ac:dyDescent="0.45">
      <c r="A119" s="30"/>
      <c r="B119" s="31"/>
      <c r="C119" s="21"/>
      <c r="D119" s="21"/>
      <c r="E119" s="21"/>
      <c r="F119" s="59"/>
      <c r="G119" s="21"/>
      <c r="H119" s="21"/>
      <c r="I119" s="21"/>
      <c r="J119" s="21"/>
      <c r="K119" s="21"/>
      <c r="L119" s="21"/>
      <c r="M119" s="21"/>
      <c r="N119" s="21"/>
      <c r="P119" s="149"/>
      <c r="Q119" s="149"/>
      <c r="R119" s="149"/>
      <c r="S119" s="149"/>
      <c r="T119" s="149"/>
      <c r="U119" s="149"/>
      <c r="V119" s="59"/>
      <c r="W119" s="149"/>
    </row>
    <row r="120" spans="1:24" ht="18.75" hidden="1" x14ac:dyDescent="0.3">
      <c r="B120" s="29"/>
      <c r="D120" s="113">
        <f>D115-D110</f>
        <v>0</v>
      </c>
      <c r="E120" s="113">
        <f>E115-E110</f>
        <v>0</v>
      </c>
      <c r="F120" s="113">
        <f>F115-F110</f>
        <v>0</v>
      </c>
      <c r="G120" s="33"/>
      <c r="H120" s="33"/>
      <c r="I120" s="33"/>
      <c r="J120" s="33"/>
      <c r="K120" s="33"/>
      <c r="L120" s="33"/>
      <c r="M120" s="33"/>
      <c r="N120" s="33"/>
      <c r="O120" s="113">
        <f>O115-O110</f>
        <v>0</v>
      </c>
      <c r="P120" s="187" t="s">
        <v>49</v>
      </c>
      <c r="Q120" s="188"/>
      <c r="R120" s="98">
        <f>E50/12*8</f>
        <v>3776887.6666666665</v>
      </c>
      <c r="V120" s="113"/>
    </row>
    <row r="121" spans="1:24" ht="18.75" hidden="1" x14ac:dyDescent="0.3">
      <c r="B121" s="29"/>
      <c r="D121" s="65"/>
      <c r="E121" s="65">
        <v>6790077.3430000003</v>
      </c>
      <c r="F121" s="65">
        <v>3836475.5019999999</v>
      </c>
      <c r="O121" s="115"/>
      <c r="P121" s="149"/>
      <c r="Q121" s="149"/>
      <c r="R121" s="98">
        <f>R120-R50</f>
        <v>0</v>
      </c>
    </row>
    <row r="122" spans="1:24" ht="18.75" hidden="1" x14ac:dyDescent="0.3">
      <c r="B122" s="29"/>
      <c r="D122" s="113"/>
      <c r="E122" s="113">
        <f>E121-E110</f>
        <v>0</v>
      </c>
      <c r="F122" s="113">
        <f>F121-F110</f>
        <v>-504725.64800000051</v>
      </c>
      <c r="G122" s="33"/>
      <c r="H122" s="33"/>
      <c r="I122" s="33"/>
      <c r="J122" s="33"/>
      <c r="K122" s="33"/>
      <c r="L122" s="33"/>
      <c r="M122" s="33"/>
      <c r="N122" s="33"/>
      <c r="O122" s="113"/>
      <c r="P122" s="187" t="s">
        <v>50</v>
      </c>
      <c r="Q122" s="188"/>
      <c r="R122" s="98">
        <f>E92/12*8</f>
        <v>99247.335999999996</v>
      </c>
      <c r="V122" s="113"/>
    </row>
    <row r="123" spans="1:24" ht="18.75" hidden="1" x14ac:dyDescent="0.3">
      <c r="B123" s="4"/>
      <c r="C123" s="3"/>
      <c r="D123" s="3"/>
      <c r="E123" s="3"/>
      <c r="F123" s="3"/>
      <c r="P123" s="149"/>
      <c r="Q123" s="149"/>
      <c r="R123" s="98">
        <f>R122-R92</f>
        <v>0</v>
      </c>
      <c r="V123" s="3"/>
    </row>
    <row r="124" spans="1:24" ht="22.5" hidden="1" x14ac:dyDescent="0.3">
      <c r="B124" s="4"/>
      <c r="C124" s="3"/>
      <c r="D124" s="3"/>
      <c r="E124" s="142"/>
      <c r="F124" s="142"/>
      <c r="P124" s="192" t="s">
        <v>51</v>
      </c>
      <c r="Q124" s="188"/>
      <c r="R124" s="98">
        <f>R122+R95</f>
        <v>228483.53599999999</v>
      </c>
      <c r="V124" s="142"/>
    </row>
    <row r="125" spans="1:24" ht="18.75" hidden="1" x14ac:dyDescent="0.3">
      <c r="B125" s="4"/>
      <c r="C125" s="3"/>
      <c r="D125" s="3"/>
      <c r="E125" s="3"/>
      <c r="P125" s="149"/>
      <c r="Q125" s="149"/>
      <c r="R125" s="98">
        <f>R124-R99</f>
        <v>0</v>
      </c>
    </row>
    <row r="126" spans="1:24" ht="18.75" x14ac:dyDescent="0.3">
      <c r="B126" s="4"/>
      <c r="C126" s="3"/>
      <c r="D126" s="3"/>
      <c r="E126" s="3"/>
    </row>
    <row r="127" spans="1:24" ht="18.75" x14ac:dyDescent="0.3">
      <c r="B127" s="144"/>
      <c r="C127" s="3"/>
      <c r="D127" s="3"/>
      <c r="E127" s="3"/>
    </row>
    <row r="128" spans="1:24" ht="18.75" x14ac:dyDescent="0.3">
      <c r="B128" s="4"/>
      <c r="C128" s="3"/>
      <c r="D128" s="3"/>
      <c r="E128" s="3"/>
    </row>
    <row r="129" spans="2:49" s="20" customFormat="1" ht="18.75" x14ac:dyDescent="0.3">
      <c r="B129" s="4"/>
      <c r="C129" s="3"/>
      <c r="D129" s="3"/>
      <c r="E129" s="3"/>
      <c r="F129" s="33"/>
      <c r="G129" s="3"/>
      <c r="H129" s="3"/>
      <c r="I129" s="3"/>
      <c r="J129" s="3"/>
      <c r="K129" s="3"/>
      <c r="L129" s="3"/>
      <c r="M129" s="3"/>
      <c r="N129" s="3"/>
      <c r="O129" s="3"/>
      <c r="P129" s="1"/>
      <c r="Q129" s="1"/>
      <c r="R129" s="1"/>
      <c r="S129" s="1"/>
      <c r="T129" s="1"/>
      <c r="U129" s="1"/>
      <c r="V129" s="33"/>
      <c r="W129" s="1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</row>
    <row r="130" spans="2:49" s="20" customFormat="1" ht="18.75" x14ac:dyDescent="0.3">
      <c r="B130" s="4"/>
      <c r="C130" s="3"/>
      <c r="D130" s="3"/>
      <c r="E130" s="114"/>
      <c r="F130" s="145"/>
      <c r="G130" s="3"/>
      <c r="H130" s="3"/>
      <c r="I130" s="3"/>
      <c r="J130" s="3"/>
      <c r="K130" s="3"/>
      <c r="L130" s="3"/>
      <c r="M130" s="3"/>
      <c r="N130" s="3"/>
      <c r="O130" s="3"/>
      <c r="P130" s="1"/>
      <c r="Q130" s="1"/>
      <c r="R130" s="1"/>
      <c r="S130" s="1"/>
      <c r="T130" s="1"/>
      <c r="U130" s="1"/>
      <c r="V130" s="145"/>
      <c r="W130" s="1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</row>
    <row r="131" spans="2:49" s="20" customFormat="1" ht="18.75" x14ac:dyDescent="0.3">
      <c r="B131" s="4"/>
      <c r="C131" s="3"/>
      <c r="D131" s="146"/>
      <c r="E131" s="3"/>
      <c r="F131" s="33"/>
      <c r="G131" s="3"/>
      <c r="H131" s="3"/>
      <c r="I131" s="3"/>
      <c r="J131" s="3"/>
      <c r="K131" s="3"/>
      <c r="L131" s="3"/>
      <c r="M131" s="3"/>
      <c r="N131" s="3"/>
      <c r="O131" s="3"/>
      <c r="P131" s="1"/>
      <c r="Q131" s="1"/>
      <c r="R131" s="1"/>
      <c r="S131" s="1"/>
      <c r="T131" s="1"/>
      <c r="U131" s="1"/>
      <c r="V131" s="33"/>
      <c r="W131" s="1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</row>
    <row r="132" spans="2:49" s="20" customFormat="1" ht="18.75" x14ac:dyDescent="0.3">
      <c r="B132" s="4"/>
      <c r="C132" s="3"/>
      <c r="D132" s="3"/>
      <c r="E132" s="3"/>
      <c r="F132" s="33"/>
      <c r="G132" s="3"/>
      <c r="H132" s="3"/>
      <c r="I132" s="3"/>
      <c r="J132" s="3"/>
      <c r="K132" s="3"/>
      <c r="L132" s="3"/>
      <c r="M132" s="3"/>
      <c r="N132" s="3"/>
      <c r="O132" s="3"/>
      <c r="P132" s="1"/>
      <c r="Q132" s="1"/>
      <c r="R132" s="1"/>
      <c r="S132" s="1"/>
      <c r="T132" s="1"/>
      <c r="U132" s="1"/>
      <c r="V132" s="33"/>
      <c r="W132" s="1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</row>
    <row r="133" spans="2:49" s="20" customFormat="1" ht="22.5" x14ac:dyDescent="0.3">
      <c r="B133" s="4"/>
      <c r="C133" s="3"/>
      <c r="D133" s="143"/>
      <c r="E133" s="3"/>
      <c r="F133" s="33"/>
      <c r="G133" s="3"/>
      <c r="H133" s="3"/>
      <c r="I133" s="3"/>
      <c r="J133" s="3"/>
      <c r="K133" s="3"/>
      <c r="L133" s="3"/>
      <c r="M133" s="3"/>
      <c r="N133" s="3"/>
      <c r="O133" s="3"/>
      <c r="P133" s="1"/>
      <c r="Q133" s="1"/>
      <c r="R133" s="1"/>
      <c r="S133" s="1"/>
      <c r="T133" s="1"/>
      <c r="U133" s="1"/>
      <c r="V133" s="33"/>
      <c r="W133" s="1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</row>
    <row r="134" spans="2:49" s="20" customFormat="1" ht="18.75" x14ac:dyDescent="0.3">
      <c r="B134" s="4"/>
      <c r="C134" s="3"/>
      <c r="D134" s="3"/>
      <c r="E134" s="3"/>
      <c r="F134" s="145"/>
      <c r="G134" s="3"/>
      <c r="H134" s="3"/>
      <c r="I134" s="3"/>
      <c r="J134" s="3"/>
      <c r="K134" s="3"/>
      <c r="L134" s="3"/>
      <c r="M134" s="3"/>
      <c r="N134" s="3"/>
      <c r="O134" s="3"/>
      <c r="P134" s="1"/>
      <c r="Q134" s="1"/>
      <c r="R134" s="1"/>
      <c r="S134" s="1"/>
      <c r="T134" s="1"/>
      <c r="U134" s="1"/>
      <c r="V134" s="145"/>
      <c r="W134" s="1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</row>
    <row r="135" spans="2:49" s="20" customFormat="1" ht="18.75" x14ac:dyDescent="0.3">
      <c r="B135" s="4"/>
      <c r="C135" s="3"/>
      <c r="D135" s="3"/>
      <c r="E135" s="3"/>
      <c r="F135" s="33"/>
      <c r="G135" s="3"/>
      <c r="H135" s="3"/>
      <c r="I135" s="3"/>
      <c r="J135" s="3"/>
      <c r="K135" s="3"/>
      <c r="L135" s="3"/>
      <c r="M135" s="3"/>
      <c r="N135" s="3"/>
      <c r="O135" s="3"/>
      <c r="P135" s="1"/>
      <c r="Q135" s="1"/>
      <c r="R135" s="1"/>
      <c r="S135" s="1"/>
      <c r="T135" s="1"/>
      <c r="U135" s="1"/>
      <c r="V135" s="33"/>
      <c r="W135" s="1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</row>
    <row r="136" spans="2:49" s="20" customFormat="1" ht="18.75" x14ac:dyDescent="0.3">
      <c r="B136" s="4"/>
      <c r="C136" s="3"/>
      <c r="D136" s="3"/>
      <c r="E136" s="3"/>
      <c r="F136" s="33"/>
      <c r="G136" s="3"/>
      <c r="H136" s="3"/>
      <c r="I136" s="3"/>
      <c r="J136" s="3"/>
      <c r="K136" s="3"/>
      <c r="L136" s="3"/>
      <c r="M136" s="3"/>
      <c r="N136" s="3"/>
      <c r="O136" s="3"/>
      <c r="P136" s="1"/>
      <c r="Q136" s="1"/>
      <c r="R136" s="1"/>
      <c r="S136" s="1"/>
      <c r="T136" s="1"/>
      <c r="U136" s="1"/>
      <c r="V136" s="33"/>
      <c r="W136" s="1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</row>
    <row r="137" spans="2:49" s="20" customFormat="1" ht="18.75" x14ac:dyDescent="0.3">
      <c r="B137" s="29"/>
      <c r="F137" s="33"/>
      <c r="G137" s="3"/>
      <c r="H137" s="3"/>
      <c r="I137" s="3"/>
      <c r="J137" s="3"/>
      <c r="K137" s="3"/>
      <c r="L137" s="3"/>
      <c r="M137" s="3"/>
      <c r="N137" s="3"/>
      <c r="O137" s="3"/>
      <c r="P137" s="1"/>
      <c r="Q137" s="1"/>
      <c r="R137" s="1"/>
      <c r="S137" s="1"/>
      <c r="T137" s="1"/>
      <c r="U137" s="1"/>
      <c r="V137" s="33"/>
      <c r="W137" s="1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</row>
    <row r="138" spans="2:49" s="20" customFormat="1" ht="18.75" x14ac:dyDescent="0.3">
      <c r="B138" s="29"/>
      <c r="F138" s="33"/>
      <c r="G138" s="3"/>
      <c r="H138" s="3"/>
      <c r="I138" s="3"/>
      <c r="J138" s="3"/>
      <c r="K138" s="3"/>
      <c r="L138" s="3"/>
      <c r="M138" s="3"/>
      <c r="N138" s="3"/>
      <c r="O138" s="3"/>
      <c r="P138" s="1"/>
      <c r="Q138" s="1"/>
      <c r="R138" s="1"/>
      <c r="S138" s="1"/>
      <c r="T138" s="1"/>
      <c r="U138" s="1"/>
      <c r="V138" s="33"/>
      <c r="W138" s="1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</row>
  </sheetData>
  <mergeCells count="33">
    <mergeCell ref="P124:Q124"/>
    <mergeCell ref="C23:C25"/>
    <mergeCell ref="P120:Q120"/>
    <mergeCell ref="X3:X4"/>
    <mergeCell ref="O3:O4"/>
    <mergeCell ref="P3:P4"/>
    <mergeCell ref="R3:R4"/>
    <mergeCell ref="S3:S4"/>
    <mergeCell ref="T3:T4"/>
    <mergeCell ref="U3:U4"/>
    <mergeCell ref="V3:V4"/>
    <mergeCell ref="W3:W4"/>
    <mergeCell ref="G3:G4"/>
    <mergeCell ref="F3:F4"/>
    <mergeCell ref="Q3:Q4"/>
    <mergeCell ref="C3:C4"/>
    <mergeCell ref="P122:Q122"/>
    <mergeCell ref="A3:A4"/>
    <mergeCell ref="B3:B4"/>
    <mergeCell ref="D3:D4"/>
    <mergeCell ref="E3:E4"/>
    <mergeCell ref="N3:N4"/>
    <mergeCell ref="H3:H4"/>
    <mergeCell ref="I3:I4"/>
    <mergeCell ref="J3:J4"/>
    <mergeCell ref="C15:C17"/>
    <mergeCell ref="K3:K4"/>
    <mergeCell ref="L3:L4"/>
    <mergeCell ref="M3:M4"/>
    <mergeCell ref="A1:X1"/>
    <mergeCell ref="A6:X6"/>
    <mergeCell ref="A77:X77"/>
    <mergeCell ref="A100:X100"/>
  </mergeCells>
  <printOptions horizontalCentered="1"/>
  <pageMargins left="0.39370078740157483" right="0" top="0" bottom="0" header="0.23622047244094491" footer="0.11811023622047245"/>
  <pageSetup paperSize="8" scale="62" fitToHeight="6" orientation="landscape" horizontalDpi="300" verticalDpi="300" r:id="rId1"/>
  <headerFooter alignWithMargins="0"/>
  <rowBreaks count="1" manualBreakCount="1">
    <brk id="76" max="2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BA029950C053C244A6A9F13E4B878893" ma:contentTypeVersion="0" ma:contentTypeDescription="Створення нового документа." ma:contentTypeScope="" ma:versionID="8013ad39d31bd0b6f241a0d4cccdf3c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6c1214ede72f45502cafdd67aec15b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 ma:readOnly="true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6F3D7FED-1DE7-42FA-B81E-F9B480DFCB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7165E8A-1497-4595-9DEC-0A096D6544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DC5F1B-D535-4A3F-8E8B-D26E9B299826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2023</vt:lpstr>
      <vt:lpstr>'2023'!Заголовки_для_печати</vt:lpstr>
      <vt:lpstr>'2023'!Область_печати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Серветник Максим Миколайович</cp:lastModifiedBy>
  <cp:lastPrinted>2023-09-01T09:32:48Z</cp:lastPrinted>
  <dcterms:created xsi:type="dcterms:W3CDTF">1996-10-08T23:32:33Z</dcterms:created>
  <dcterms:modified xsi:type="dcterms:W3CDTF">2023-09-01T09:36:18Z</dcterms:modified>
</cp:coreProperties>
</file>